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640" windowHeight="5895" tabRatio="881" firstSheet="1" activeTab="2"/>
  </bookViews>
  <sheets>
    <sheet name="sua  mau an tuyen khong ro 9" sheetId="1" state="hidden" r:id="rId1"/>
    <sheet name="Mẫu BC tiền theo CHV Mẫu 07" sheetId="2" r:id="rId2"/>
    <sheet name="Mẫu BC việc theo CHV Mẫu 06" sheetId="3" r:id="rId3"/>
  </sheets>
  <definedNames/>
  <calcPr fullCalcOnLoad="1"/>
</workbook>
</file>

<file path=xl/comments2.xml><?xml version="1.0" encoding="utf-8"?>
<comments xmlns="http://schemas.openxmlformats.org/spreadsheetml/2006/main">
  <authors>
    <author>IT DAK LAK</author>
  </authors>
  <commentList>
    <comment ref="C109" authorId="0">
      <text>
        <r>
          <rPr>
            <b/>
            <sz val="8"/>
            <rFont val="Tahoma"/>
            <family val="2"/>
          </rPr>
          <t>IT DAK LAK:</t>
        </r>
        <r>
          <rPr>
            <sz val="8"/>
            <rFont val="Tahoma"/>
            <family val="2"/>
          </rPr>
          <t xml:space="preserve">
</t>
        </r>
      </text>
    </comment>
  </commentList>
</comments>
</file>

<file path=xl/comments3.xml><?xml version="1.0" encoding="utf-8"?>
<comments xmlns="http://schemas.openxmlformats.org/spreadsheetml/2006/main">
  <authors>
    <author>IT DAK LAK</author>
  </authors>
  <commentList>
    <comment ref="S109" authorId="0">
      <text>
        <r>
          <rPr>
            <b/>
            <sz val="8"/>
            <rFont val="Tahoma"/>
            <family val="2"/>
          </rPr>
          <t>IT DAK LAK:</t>
        </r>
        <r>
          <rPr>
            <sz val="8"/>
            <rFont val="Tahoma"/>
            <family val="2"/>
          </rPr>
          <t xml:space="preserve">
</t>
        </r>
      </text>
    </comment>
    <comment ref="S110" authorId="0">
      <text>
        <r>
          <rPr>
            <b/>
            <sz val="8"/>
            <rFont val="Tahoma"/>
            <family val="2"/>
          </rPr>
          <t>IT DAK LAK:</t>
        </r>
        <r>
          <rPr>
            <sz val="8"/>
            <rFont val="Tahoma"/>
            <family val="2"/>
          </rPr>
          <t xml:space="preserve">
</t>
        </r>
      </text>
    </comment>
    <comment ref="H109" authorId="0">
      <text>
        <r>
          <rPr>
            <b/>
            <sz val="8"/>
            <rFont val="Tahoma"/>
            <family val="2"/>
          </rPr>
          <t>IT DAK LAK:</t>
        </r>
        <r>
          <rPr>
            <sz val="8"/>
            <rFont val="Tahoma"/>
            <family val="2"/>
          </rPr>
          <t xml:space="preserve">
</t>
        </r>
      </text>
    </comment>
  </commentList>
</comments>
</file>

<file path=xl/sharedStrings.xml><?xml version="1.0" encoding="utf-8"?>
<sst xmlns="http://schemas.openxmlformats.org/spreadsheetml/2006/main" count="548" uniqueCount="279">
  <si>
    <t>I</t>
  </si>
  <si>
    <t>II</t>
  </si>
  <si>
    <t>Số việc</t>
  </si>
  <si>
    <t>NGƯỜI LẬP BIỂU</t>
  </si>
  <si>
    <t>A</t>
  </si>
  <si>
    <t>Chia ra:</t>
  </si>
  <si>
    <t>Đơn vị tính: Việc</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</si>
  <si>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</si>
  <si>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</si>
  <si>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</si>
  <si>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</si>
  <si>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</si>
  <si>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</si>
  <si>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</si>
  <si>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</si>
  <si>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</si>
  <si>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</si>
  <si>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</si>
  <si>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</si>
  <si>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</si>
  <si>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</si>
  <si>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</si>
  <si>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 xml:space="preserve">Ghi chú:  </t>
  </si>
  <si>
    <t xml:space="preserve">Tổng số
</t>
  </si>
  <si>
    <t>1</t>
  </si>
  <si>
    <t>2</t>
  </si>
  <si>
    <t>1.2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</si>
  <si>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</si>
  <si>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</si>
  <si>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</si>
  <si>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</si>
  <si>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</si>
  <si>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</si>
  <si>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</si>
  <si>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</si>
  <si>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</si>
  <si>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</si>
  <si>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</si>
  <si>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</si>
  <si>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</si>
  <si>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</si>
  <si>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</si>
  <si>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</si>
  <si>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</si>
  <si>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</si>
  <si>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</si>
  <si>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</si>
  <si>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</si>
  <si>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</si>
  <si>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</si>
  <si>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</si>
  <si>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</si>
  <si>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</si>
  <si>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</si>
  <si>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1.3</t>
  </si>
  <si>
    <t>Đang thi hành</t>
  </si>
  <si>
    <t>1.4</t>
  </si>
  <si>
    <t>Tạm đình chỉ thi hành án</t>
  </si>
  <si>
    <t>1.6</t>
  </si>
  <si>
    <t>1.7</t>
  </si>
  <si>
    <t>Trường hợp khác</t>
  </si>
  <si>
    <t>5.1</t>
  </si>
  <si>
    <t>5.2</t>
  </si>
  <si>
    <t>5.3</t>
  </si>
  <si>
    <t>1.8</t>
  </si>
  <si>
    <t>Giảm thi hành án</t>
  </si>
  <si>
    <t>Ngày nhận báo cáo:……/….…/……………</t>
  </si>
  <si>
    <t>Tổng số thụ lý</t>
  </si>
  <si>
    <t>Cục THADS  rút lên thi hành</t>
  </si>
  <si>
    <t>Tỷ lệ: 
( %) (xong  + đình chỉ)/ Có điều kiện * 100%</t>
  </si>
  <si>
    <t>Chưa có điều
 kiện hành</t>
  </si>
  <si>
    <t>Năm trước
chuyển sang</t>
  </si>
  <si>
    <t xml:space="preserve">Mới
thụ lý
</t>
  </si>
  <si>
    <t>Thi hành
xong</t>
  </si>
  <si>
    <t>Đình chỉ
thi hành án</t>
  </si>
  <si>
    <t>Hoãn
thi hành án</t>
  </si>
  <si>
    <t xml:space="preserve">   KẾT QUẢ THI HÀNH ÁN DÂN SỰ TÍNH BẰNG TIỀN </t>
  </si>
  <si>
    <t>Tỷ lệ: 
( %) (xong  + đình chỉ+ giảm)/ Có điều kiện * 100%</t>
  </si>
  <si>
    <t>( ký, họ tên)</t>
  </si>
  <si>
    <t>Ban hành theo TT số: 08/2015/TT-BTP</t>
  </si>
  <si>
    <t>ngày 26 tháng 6 năm 2015</t>
  </si>
  <si>
    <t>Phạm Tiến Binh</t>
  </si>
  <si>
    <t>Nguyễn Thị Mai Hoa</t>
  </si>
  <si>
    <t>Trần Hồng Quang</t>
  </si>
  <si>
    <t xml:space="preserve"> Bùi Văn Dũng</t>
  </si>
  <si>
    <t xml:space="preserve"> Quản Văn Đức </t>
  </si>
  <si>
    <t xml:space="preserve"> Lê Thị Liên</t>
  </si>
  <si>
    <t xml:space="preserve"> Phùng Trọng Nghĩa</t>
  </si>
  <si>
    <t>1.10</t>
  </si>
  <si>
    <t>1.11</t>
  </si>
  <si>
    <t xml:space="preserve"> Bùi Quang Minh</t>
  </si>
  <si>
    <t>1.12</t>
  </si>
  <si>
    <t>Ngô Văn Hòa</t>
  </si>
  <si>
    <t>1.13</t>
  </si>
  <si>
    <t>1.16</t>
  </si>
  <si>
    <t>Đinh Đức Quang</t>
  </si>
  <si>
    <t>1.18</t>
  </si>
  <si>
    <t xml:space="preserve"> Nguyễn Thị Mai Anh</t>
  </si>
  <si>
    <t>1.19</t>
  </si>
  <si>
    <t>Phan Thị Nhuyến</t>
  </si>
  <si>
    <t>Lê Thị Minh Thúy</t>
  </si>
  <si>
    <t>Các Chi  cục THADS</t>
  </si>
  <si>
    <t xml:space="preserve"> H.An Dương</t>
  </si>
  <si>
    <t xml:space="preserve"> Nguyễn Phi Hùng</t>
  </si>
  <si>
    <t>Trần Quốc Lập</t>
  </si>
  <si>
    <t xml:space="preserve"> H.An Lão</t>
  </si>
  <si>
    <t>Trần Mạnh Cường</t>
  </si>
  <si>
    <t>Q.Đồ Sơn</t>
  </si>
  <si>
    <t>Trần Tăng Vấn</t>
  </si>
  <si>
    <t xml:space="preserve"> Mai Thị Hà</t>
  </si>
  <si>
    <t xml:space="preserve"> H.Bạch Long Vĩ</t>
  </si>
  <si>
    <t>Nguyễn Đồng Lai</t>
  </si>
  <si>
    <t xml:space="preserve"> Q.Lê Chân</t>
  </si>
  <si>
    <t>Nguyễn Ngọc Hoàn</t>
  </si>
  <si>
    <t>5.4</t>
  </si>
  <si>
    <t>5.5</t>
  </si>
  <si>
    <t>Vũ Thế Khương</t>
  </si>
  <si>
    <t>5.6</t>
  </si>
  <si>
    <t>5.7</t>
  </si>
  <si>
    <t>5.8</t>
  </si>
  <si>
    <t xml:space="preserve"> Q.Hải An</t>
  </si>
  <si>
    <t>Trịnh Quang Khánh</t>
  </si>
  <si>
    <t xml:space="preserve"> Q.Hồng Bàng</t>
  </si>
  <si>
    <t xml:space="preserve"> Q.Kiến An</t>
  </si>
  <si>
    <t>8.1</t>
  </si>
  <si>
    <t xml:space="preserve"> Phạm Văn Nhất</t>
  </si>
  <si>
    <t>8.2</t>
  </si>
  <si>
    <t xml:space="preserve"> H.Kiến Thụy</t>
  </si>
  <si>
    <t>9.1</t>
  </si>
  <si>
    <t>CHV  Phạm Văn Vơ</t>
  </si>
  <si>
    <t>9.2</t>
  </si>
  <si>
    <t>CHV Trần Đại Sỹ</t>
  </si>
  <si>
    <t>9.3</t>
  </si>
  <si>
    <t>CHV  Đỗ Thị Thành</t>
  </si>
  <si>
    <t>Q.Ngô Quyền</t>
  </si>
  <si>
    <t>10.1</t>
  </si>
  <si>
    <t>10.3</t>
  </si>
  <si>
    <t>10.4</t>
  </si>
  <si>
    <t>10.5</t>
  </si>
  <si>
    <t>10.6</t>
  </si>
  <si>
    <t>10.7</t>
  </si>
  <si>
    <t>10.8</t>
  </si>
  <si>
    <t>10.9</t>
  </si>
  <si>
    <t>Nguyễn Trường Giang</t>
  </si>
  <si>
    <t xml:space="preserve"> H.Cát Hải</t>
  </si>
  <si>
    <t>11.1</t>
  </si>
  <si>
    <t>Nguyễn Tiến Dược</t>
  </si>
  <si>
    <t>11.2</t>
  </si>
  <si>
    <t xml:space="preserve"> H.Tiên Lãng</t>
  </si>
  <si>
    <t xml:space="preserve"> H.Thủy Nguyên</t>
  </si>
  <si>
    <t>Nguyễn Thế Mạnh</t>
  </si>
  <si>
    <t>Bùi Văn Châu</t>
  </si>
  <si>
    <t>Tạ Văn Quảng</t>
  </si>
  <si>
    <t>Nguyễn Thị Xuân Hoa</t>
  </si>
  <si>
    <t>Đinh Thị Quyên</t>
  </si>
  <si>
    <t>Kiều Thị Hạnh Nguyên</t>
  </si>
  <si>
    <t xml:space="preserve"> H.Vĩnh Bảo</t>
  </si>
  <si>
    <t>14.1</t>
  </si>
  <si>
    <t>Phạm Hồng Nguyện</t>
  </si>
  <si>
    <t>14.2</t>
  </si>
  <si>
    <t>Trần Minh Đức</t>
  </si>
  <si>
    <t xml:space="preserve"> Q.Dương Kinh</t>
  </si>
  <si>
    <t>Thái Bá Sức</t>
  </si>
  <si>
    <t>dân sự Thành phố Hải Phòng</t>
  </si>
  <si>
    <t>Đơn vị nhận báo cáo: Tổng Cục</t>
  </si>
  <si>
    <t>Thi hành án dân sự</t>
  </si>
  <si>
    <t>Đơn vị tính: 1.000 đồng</t>
  </si>
  <si>
    <t>Đơn vị báo cáo: Cục Thi hành án</t>
  </si>
  <si>
    <t>Đơn vị  nhận báo cáo: Tổng Cục</t>
  </si>
  <si>
    <t>Trần Thị Minh</t>
  </si>
  <si>
    <t xml:space="preserve"> Đơn vị gửi báo cáo: Cục Thi hành </t>
  </si>
  <si>
    <t>án dân sự Thành phố Hải Phòng</t>
  </si>
  <si>
    <t>Phạm Văn Tú</t>
  </si>
  <si>
    <t>Mai Thị Hoa</t>
  </si>
  <si>
    <t>Đàm Xuân Thủy</t>
  </si>
  <si>
    <t xml:space="preserve">
Tổng số chuyển
kỳ sau</t>
  </si>
  <si>
    <t>Tạm dừng THA để GQKN</t>
  </si>
  <si>
    <t>Vũ Văn Biên</t>
  </si>
  <si>
    <t>Nguyễn Văn Thảnh</t>
  </si>
  <si>
    <t>Nguyễn Thị Phích</t>
  </si>
  <si>
    <t>Nguyễn Công Tưởng</t>
  </si>
  <si>
    <t>Nguyễn Thị Hiền</t>
  </si>
  <si>
    <t xml:space="preserve"> Hồ Anh Văn</t>
  </si>
  <si>
    <t>0</t>
  </si>
  <si>
    <t>1.15</t>
  </si>
  <si>
    <t>1.1</t>
  </si>
  <si>
    <t>1.5</t>
  </si>
  <si>
    <t>Đỗ Văn Thịnh</t>
  </si>
  <si>
    <t>Lê Thị Tuyết Thanh</t>
  </si>
  <si>
    <t>Nguyễn Thanh Hải</t>
  </si>
  <si>
    <t>Nguyễn T Diệp Anh</t>
  </si>
  <si>
    <t>Lê Văn Thụy</t>
  </si>
  <si>
    <t>Đoàn T Minh Châu</t>
  </si>
  <si>
    <t>Bùi Đức Tiến</t>
  </si>
  <si>
    <t>Lê Văn Diên</t>
  </si>
  <si>
    <t>Lê Viết Thắng</t>
  </si>
  <si>
    <t>12.1</t>
  </si>
  <si>
    <t>12.2</t>
  </si>
  <si>
    <t>12.3</t>
  </si>
  <si>
    <t>Lương Duy Hiếu</t>
  </si>
  <si>
    <t>Nguyễn Thị Thủy</t>
  </si>
  <si>
    <t>Phạm Thị Ngân Hoài</t>
  </si>
  <si>
    <t>Trần Thị Hương</t>
  </si>
  <si>
    <t>Đỗ Thị Thanh Trà</t>
  </si>
  <si>
    <t>Phạm Văn Hùng</t>
  </si>
  <si>
    <t>Trịnh Duy Hưng</t>
  </si>
  <si>
    <t>Tô Anh Dũng</t>
  </si>
  <si>
    <t>Phạm Văn Phúc</t>
  </si>
  <si>
    <t>Lương Thanh Thủy</t>
  </si>
  <si>
    <t>Nguyễn Văn Lai</t>
  </si>
  <si>
    <t>Nguyễn T.P Thảo</t>
  </si>
  <si>
    <t>Phạm Ngọc Phong</t>
  </si>
  <si>
    <t>Đỗ Văn Hoàng</t>
  </si>
  <si>
    <t>Phùng Ngọc Huy</t>
  </si>
  <si>
    <t>Hoàng Trọng Hiếu</t>
  </si>
  <si>
    <t>64</t>
  </si>
  <si>
    <t>100</t>
  </si>
  <si>
    <t>23</t>
  </si>
  <si>
    <t>Bùi Thị Mai</t>
  </si>
  <si>
    <t>Nguyễn Trần Tuấn</t>
  </si>
  <si>
    <t>8.3</t>
  </si>
  <si>
    <t>Nguyễn Tùng Ngọc</t>
  </si>
  <si>
    <t>Phạm Đăng Ngọc</t>
  </si>
  <si>
    <t>Hoàng Vân Anh</t>
  </si>
  <si>
    <t>Trần Kim Thoa</t>
  </si>
  <si>
    <t>Nguyễn Thị Quế</t>
  </si>
  <si>
    <t>7.1</t>
  </si>
  <si>
    <t>7.2</t>
  </si>
  <si>
    <t>7.3</t>
  </si>
  <si>
    <t>7.4</t>
  </si>
  <si>
    <t>7.5</t>
  </si>
  <si>
    <t>7.6</t>
  </si>
  <si>
    <t>7.7</t>
  </si>
  <si>
    <t>Nguyễn Trí Thành</t>
  </si>
  <si>
    <t>Bùi Mạnh Hùng</t>
  </si>
  <si>
    <t>Lương Văn Lịch</t>
  </si>
  <si>
    <t>Hoàng Tiến Dũng</t>
  </si>
  <si>
    <t>Đỗ Khắc Oanh</t>
  </si>
  <si>
    <t>1.17</t>
  </si>
  <si>
    <t>Đỗ Thị Thanh Thủy</t>
  </si>
  <si>
    <t>2.1</t>
  </si>
  <si>
    <t>2.2</t>
  </si>
  <si>
    <t>2.3</t>
  </si>
  <si>
    <t>2.4</t>
  </si>
  <si>
    <t>3.1</t>
  </si>
  <si>
    <t>3.2</t>
  </si>
  <si>
    <t>6.1</t>
  </si>
  <si>
    <t>6.2</t>
  </si>
  <si>
    <t>6.3</t>
  </si>
  <si>
    <t>6.4</t>
  </si>
  <si>
    <t>10.2</t>
  </si>
  <si>
    <t>15.1</t>
  </si>
  <si>
    <t>15.2</t>
  </si>
  <si>
    <t>15.3</t>
  </si>
  <si>
    <t>15.4</t>
  </si>
  <si>
    <t>13.1</t>
  </si>
  <si>
    <t>13.2</t>
  </si>
  <si>
    <t>13.3</t>
  </si>
  <si>
    <t>13.4</t>
  </si>
  <si>
    <t>13.5</t>
  </si>
  <si>
    <t>13.6</t>
  </si>
  <si>
    <t>13.7</t>
  </si>
  <si>
    <t>13.8</t>
  </si>
  <si>
    <t>13.9</t>
  </si>
  <si>
    <t>13.10</t>
  </si>
  <si>
    <t>13.11</t>
  </si>
  <si>
    <t>4.1</t>
  </si>
  <si>
    <t>4.2</t>
  </si>
  <si>
    <t xml:space="preserve"> </t>
  </si>
  <si>
    <t>02 tháng/năm 2017</t>
  </si>
  <si>
    <t>40</t>
  </si>
  <si>
    <t>31</t>
  </si>
  <si>
    <t>81</t>
  </si>
  <si>
    <t>43</t>
  </si>
  <si>
    <t>57</t>
  </si>
  <si>
    <t>10.10</t>
  </si>
  <si>
    <t>Phạm Thế Toàn</t>
  </si>
  <si>
    <t>KT.CỤC TRƯỞNG 
PHÓ CỤC TRƯỞNG</t>
  </si>
  <si>
    <t xml:space="preserve">             Hải Phòng, ngày 05 tháng 12 năm 2016</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</si>
</sst>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Red]#,##0"/>
    <numFmt numFmtId="194" formatCode="0;[Red]0"/>
    <numFmt numFmtId="195" formatCode="0_);\(0\)"/>
    <numFmt numFmtId="196" formatCode="###\ ###\ ###"/>
    <numFmt numFmtId="197" formatCode="###\ ###\ "/>
    <numFmt numFmtId="198" formatCode="#,##0.0000;[Red]#,##0.0000"/>
    <numFmt numFmtId="199" formatCode="#,##0.00;[Red]#,##0.00"/>
    <numFmt numFmtId="200" formatCode="0.0"/>
    <numFmt numFmtId="201" formatCode="_(* #,##0_);_(* \(#,##0\);_(* &quot;&quot;??_);_(@_)"/>
  </numFmts>
  <fonts count="69">
    <font>
      <sz val="12"/>
      <name val="Times New Roman"/>
      <family val="1"/>
    </font>
    <font>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8"/>
      <name val="Tahoma"/>
      <family val="2"/>
    </font>
    <font>
      <sz val="8"/>
      <name val="Tahoma"/>
      <family val="2"/>
    </font>
    <font>
      <sz val="10"/>
      <color indexed="10"/>
      <name val="Arial"/>
      <family val="2"/>
    </font>
    <font>
      <sz val="8"/>
      <color indexed="10"/>
      <name val="Times New Roman"/>
      <family val="1"/>
    </font>
    <font>
      <sz val="10"/>
      <color indexed="10"/>
      <name val="Times New Roman"/>
      <family val="1"/>
    </font>
    <font>
      <b/>
      <sz val="8"/>
      <name val="Times New Roman"/>
      <family val="1"/>
    </font>
    <font>
      <b/>
      <sz val="8"/>
      <color indexed="10"/>
      <name val="Times New Roman"/>
      <family val="1"/>
    </font>
    <font>
      <b/>
      <sz val="8"/>
      <color indexed="17"/>
      <name val="Times New Roman"/>
      <family val="1"/>
    </font>
    <font>
      <sz val="8"/>
      <color indexed="8"/>
      <name val="Times New Roman"/>
      <family val="1"/>
    </font>
    <font>
      <sz val="11"/>
      <color indexed="10"/>
      <name val="Times New Roman"/>
      <family val="1"/>
    </font>
    <font>
      <sz val="11"/>
      <color indexed="8"/>
      <name val="Times New Roman"/>
      <family val="1"/>
    </font>
    <font>
      <sz val="11"/>
      <color indexed="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28" borderId="2" applyNumberFormat="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1">
    <xf numFmtId="0" fontId="0" fillId="0" borderId="0" xfId="0" applyAlignment="1">
      <alignment/>
    </xf>
    <xf numFmtId="49" fontId="0" fillId="0" borderId="0" xfId="0" applyNumberFormat="1" applyFill="1" applyAlignment="1">
      <alignment/>
    </xf>
    <xf numFmtId="49" fontId="4" fillId="0" borderId="10" xfId="0" applyNumberFormat="1" applyFont="1" applyFill="1" applyBorder="1" applyAlignment="1">
      <alignment horizontal="left"/>
    </xf>
    <xf numFmtId="49" fontId="6"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4" fillId="0" borderId="12" xfId="0" applyNumberFormat="1" applyFont="1" applyFill="1" applyBorder="1" applyAlignment="1">
      <alignment/>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xf>
    <xf numFmtId="49" fontId="5" fillId="0" borderId="10" xfId="0" applyNumberFormat="1" applyFont="1" applyFill="1" applyBorder="1" applyAlignment="1">
      <alignment horizontal="left"/>
    </xf>
    <xf numFmtId="49" fontId="14" fillId="0" borderId="10" xfId="0" applyNumberFormat="1" applyFont="1" applyFill="1" applyBorder="1" applyAlignment="1">
      <alignment horizontal="center" vertical="center" wrapText="1"/>
    </xf>
    <xf numFmtId="49" fontId="5" fillId="0" borderId="13" xfId="0" applyNumberFormat="1" applyFont="1" applyFill="1" applyBorder="1" applyAlignment="1">
      <alignment horizontal="center"/>
    </xf>
    <xf numFmtId="49" fontId="10" fillId="0" borderId="10" xfId="0" applyNumberFormat="1" applyFont="1" applyFill="1" applyBorder="1" applyAlignment="1">
      <alignment horizontal="left"/>
    </xf>
    <xf numFmtId="49" fontId="4"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15" fillId="0" borderId="10" xfId="0" applyNumberFormat="1" applyFont="1" applyFill="1" applyBorder="1" applyAlignment="1">
      <alignment horizontal="center"/>
    </xf>
    <xf numFmtId="49" fontId="17" fillId="0" borderId="0" xfId="0" applyNumberFormat="1" applyFont="1" applyFill="1" applyAlignment="1">
      <alignment/>
    </xf>
    <xf numFmtId="49" fontId="18"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0" xfId="0" applyNumberFormat="1" applyFont="1" applyFill="1" applyBorder="1" applyAlignment="1">
      <alignment/>
    </xf>
    <xf numFmtId="49" fontId="13" fillId="0" borderId="0" xfId="0" applyNumberFormat="1" applyFont="1" applyFill="1" applyBorder="1" applyAlignment="1">
      <alignment vertical="center" wrapText="1"/>
    </xf>
    <xf numFmtId="49" fontId="16" fillId="0" borderId="0" xfId="0" applyNumberFormat="1" applyFont="1" applyFill="1" applyAlignment="1">
      <alignment/>
    </xf>
    <xf numFmtId="49" fontId="19" fillId="0" borderId="0" xfId="0" applyNumberFormat="1" applyFont="1" applyFill="1" applyBorder="1" applyAlignment="1">
      <alignment vertical="center" wrapText="1"/>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10" xfId="0" applyNumberFormat="1" applyFont="1" applyFill="1" applyBorder="1" applyAlignment="1">
      <alignment/>
    </xf>
    <xf numFmtId="49" fontId="7" fillId="33" borderId="0" xfId="0" applyNumberFormat="1" applyFont="1" applyFill="1" applyAlignment="1">
      <alignment/>
    </xf>
    <xf numFmtId="0" fontId="4" fillId="33" borderId="0" xfId="61" applyFont="1" applyFill="1" applyBorder="1" applyAlignment="1">
      <alignment horizontal="center"/>
      <protection/>
    </xf>
    <xf numFmtId="49" fontId="26" fillId="33" borderId="0" xfId="0" applyNumberFormat="1" applyFont="1" applyFill="1" applyAlignment="1">
      <alignment/>
    </xf>
    <xf numFmtId="49" fontId="0" fillId="33" borderId="0" xfId="0" applyNumberFormat="1" applyFont="1" applyFill="1" applyAlignment="1">
      <alignment/>
    </xf>
    <xf numFmtId="49" fontId="4" fillId="33" borderId="0" xfId="0" applyNumberFormat="1" applyFont="1" applyFill="1" applyAlignment="1">
      <alignment/>
    </xf>
    <xf numFmtId="49" fontId="27" fillId="33" borderId="0" xfId="0" applyNumberFormat="1" applyFont="1" applyFill="1" applyAlignment="1">
      <alignment/>
    </xf>
    <xf numFmtId="3" fontId="4" fillId="33" borderId="0" xfId="0" applyNumberFormat="1" applyFont="1" applyFill="1" applyBorder="1" applyAlignment="1">
      <alignment horizontal="left"/>
    </xf>
    <xf numFmtId="193" fontId="3" fillId="33" borderId="0" xfId="0" applyNumberFormat="1" applyFont="1" applyFill="1" applyBorder="1" applyAlignment="1">
      <alignment horizontal="left"/>
    </xf>
    <xf numFmtId="3" fontId="3" fillId="33" borderId="0" xfId="0" applyNumberFormat="1" applyFont="1" applyFill="1" applyBorder="1" applyAlignment="1">
      <alignment horizontal="left"/>
    </xf>
    <xf numFmtId="49" fontId="27" fillId="33" borderId="0" xfId="0" applyNumberFormat="1" applyFont="1" applyFill="1" applyAlignment="1">
      <alignment/>
    </xf>
    <xf numFmtId="49" fontId="4" fillId="33" borderId="0" xfId="0" applyNumberFormat="1" applyFont="1" applyFill="1" applyAlignment="1">
      <alignment horizontal="center"/>
    </xf>
    <xf numFmtId="49" fontId="2" fillId="33" borderId="0" xfId="0" applyNumberFormat="1" applyFont="1" applyFill="1" applyAlignment="1">
      <alignment/>
    </xf>
    <xf numFmtId="49" fontId="5" fillId="33" borderId="0" xfId="0" applyNumberFormat="1" applyFont="1" applyFill="1" applyAlignment="1">
      <alignment/>
    </xf>
    <xf numFmtId="49" fontId="4" fillId="33" borderId="0" xfId="0" applyNumberFormat="1" applyFont="1" applyFill="1" applyAlignment="1">
      <alignment/>
    </xf>
    <xf numFmtId="3" fontId="4" fillId="33" borderId="12" xfId="0" applyNumberFormat="1" applyFont="1" applyFill="1" applyBorder="1" applyAlignment="1">
      <alignment horizontal="left"/>
    </xf>
    <xf numFmtId="193" fontId="3" fillId="33" borderId="12" xfId="0" applyNumberFormat="1" applyFont="1" applyFill="1" applyBorder="1" applyAlignment="1">
      <alignment horizontal="left"/>
    </xf>
    <xf numFmtId="3" fontId="3" fillId="33" borderId="12" xfId="0" applyNumberFormat="1" applyFont="1" applyFill="1" applyBorder="1" applyAlignment="1">
      <alignment horizontal="left"/>
    </xf>
    <xf numFmtId="49" fontId="4" fillId="33" borderId="10" xfId="0" applyNumberFormat="1" applyFont="1" applyFill="1" applyBorder="1" applyAlignment="1" applyProtection="1">
      <alignment horizontal="center" vertical="center"/>
      <protection/>
    </xf>
    <xf numFmtId="49" fontId="27" fillId="33" borderId="10" xfId="0" applyNumberFormat="1" applyFont="1" applyFill="1" applyBorder="1" applyAlignment="1" applyProtection="1">
      <alignment horizontal="center" vertical="center"/>
      <protection/>
    </xf>
    <xf numFmtId="193" fontId="7" fillId="33" borderId="10" xfId="0" applyNumberFormat="1" applyFont="1" applyFill="1" applyBorder="1" applyAlignment="1" applyProtection="1">
      <alignment horizontal="center" vertical="center"/>
      <protection/>
    </xf>
    <xf numFmtId="0" fontId="4" fillId="33" borderId="0" xfId="61" applyFont="1" applyFill="1" applyBorder="1" applyAlignment="1">
      <alignment horizontal="center" wrapText="1"/>
      <protection/>
    </xf>
    <xf numFmtId="0" fontId="4" fillId="33" borderId="0" xfId="61" applyFont="1" applyFill="1" applyBorder="1" applyAlignment="1">
      <alignment wrapText="1"/>
      <protection/>
    </xf>
    <xf numFmtId="0" fontId="22" fillId="33" borderId="0" xfId="61" applyFill="1">
      <alignment/>
      <protection/>
    </xf>
    <xf numFmtId="0" fontId="1" fillId="33" borderId="0" xfId="61" applyFont="1" applyFill="1">
      <alignment/>
      <protection/>
    </xf>
    <xf numFmtId="0" fontId="27" fillId="33" borderId="0" xfId="61" applyFont="1" applyFill="1" applyBorder="1" applyAlignment="1">
      <alignment wrapText="1"/>
      <protection/>
    </xf>
    <xf numFmtId="0" fontId="22" fillId="33" borderId="0" xfId="61" applyFont="1" applyFill="1">
      <alignment/>
      <protection/>
    </xf>
    <xf numFmtId="0" fontId="25" fillId="33" borderId="0" xfId="61" applyFont="1" applyFill="1">
      <alignment/>
      <protection/>
    </xf>
    <xf numFmtId="193" fontId="22" fillId="33" borderId="0" xfId="61" applyNumberFormat="1" applyFont="1" applyFill="1">
      <alignment/>
      <protection/>
    </xf>
    <xf numFmtId="193" fontId="22" fillId="33" borderId="0" xfId="61" applyNumberFormat="1" applyFill="1">
      <alignment/>
      <protection/>
    </xf>
    <xf numFmtId="193" fontId="0" fillId="33" borderId="0" xfId="0" applyNumberFormat="1" applyFont="1" applyFill="1" applyAlignment="1">
      <alignment/>
    </xf>
    <xf numFmtId="49" fontId="26" fillId="33" borderId="0" xfId="0" applyNumberFormat="1" applyFont="1" applyFill="1" applyAlignment="1">
      <alignment/>
    </xf>
    <xf numFmtId="49" fontId="26" fillId="33" borderId="10" xfId="0" applyNumberFormat="1" applyFont="1" applyFill="1" applyBorder="1" applyAlignment="1" applyProtection="1">
      <alignment horizontal="center" vertical="center"/>
      <protection/>
    </xf>
    <xf numFmtId="49" fontId="7" fillId="33" borderId="10" xfId="0" applyNumberFormat="1" applyFont="1" applyFill="1" applyBorder="1" applyAlignment="1" applyProtection="1">
      <alignment horizontal="center" vertical="center"/>
      <protection/>
    </xf>
    <xf numFmtId="193" fontId="3" fillId="34" borderId="0" xfId="0" applyNumberFormat="1" applyFont="1" applyFill="1" applyAlignment="1">
      <alignment horizontal="right"/>
    </xf>
    <xf numFmtId="193" fontId="3" fillId="34" borderId="10" xfId="0" applyNumberFormat="1" applyFont="1" applyFill="1" applyBorder="1" applyAlignment="1" applyProtection="1">
      <alignment horizontal="left" vertical="center"/>
      <protection/>
    </xf>
    <xf numFmtId="193" fontId="3" fillId="35" borderId="10" xfId="0" applyNumberFormat="1" applyFont="1" applyFill="1" applyBorder="1" applyAlignment="1" applyProtection="1">
      <alignment horizontal="left" vertical="center"/>
      <protection/>
    </xf>
    <xf numFmtId="193" fontId="3" fillId="35" borderId="0" xfId="0" applyNumberFormat="1" applyFont="1" applyFill="1" applyAlignment="1">
      <alignment horizontal="right"/>
    </xf>
    <xf numFmtId="193" fontId="3" fillId="35" borderId="10" xfId="61" applyNumberFormat="1" applyFont="1" applyFill="1" applyBorder="1" applyAlignment="1">
      <alignment horizontal="left"/>
      <protection/>
    </xf>
    <xf numFmtId="49" fontId="7" fillId="33" borderId="0" xfId="0" applyNumberFormat="1" applyFont="1" applyFill="1" applyAlignment="1">
      <alignment horizontal="left"/>
    </xf>
    <xf numFmtId="193" fontId="7" fillId="33" borderId="0" xfId="0" applyNumberFormat="1" applyFont="1" applyFill="1" applyBorder="1" applyAlignment="1">
      <alignment horizontal="center"/>
    </xf>
    <xf numFmtId="193" fontId="7" fillId="33" borderId="0" xfId="0" applyNumberFormat="1" applyFont="1" applyFill="1" applyBorder="1" applyAlignment="1">
      <alignment wrapText="1"/>
    </xf>
    <xf numFmtId="49" fontId="7" fillId="33" borderId="0" xfId="0" applyNumberFormat="1" applyFont="1" applyFill="1" applyAlignment="1">
      <alignment horizontal="center"/>
    </xf>
    <xf numFmtId="193" fontId="7" fillId="33" borderId="0" xfId="0" applyNumberFormat="1" applyFont="1" applyFill="1" applyBorder="1" applyAlignment="1">
      <alignment/>
    </xf>
    <xf numFmtId="49" fontId="7" fillId="33" borderId="0" xfId="0" applyNumberFormat="1" applyFont="1" applyFill="1" applyAlignment="1">
      <alignment/>
    </xf>
    <xf numFmtId="49" fontId="28" fillId="33" borderId="0" xfId="0" applyNumberFormat="1" applyFont="1" applyFill="1" applyAlignment="1">
      <alignment horizontal="left"/>
    </xf>
    <xf numFmtId="49" fontId="29" fillId="33" borderId="0" xfId="0" applyNumberFormat="1" applyFont="1" applyFill="1" applyAlignment="1">
      <alignment/>
    </xf>
    <xf numFmtId="2" fontId="7" fillId="33" borderId="0" xfId="0" applyNumberFormat="1" applyFont="1" applyFill="1" applyBorder="1" applyAlignment="1">
      <alignment/>
    </xf>
    <xf numFmtId="193" fontId="7" fillId="33" borderId="0" xfId="0" applyNumberFormat="1" applyFont="1" applyFill="1" applyAlignment="1">
      <alignment/>
    </xf>
    <xf numFmtId="49" fontId="7" fillId="33" borderId="0" xfId="0" applyNumberFormat="1" applyFont="1" applyFill="1" applyBorder="1" applyAlignment="1">
      <alignment/>
    </xf>
    <xf numFmtId="49" fontId="7" fillId="33" borderId="10" xfId="0" applyNumberFormat="1" applyFont="1" applyFill="1" applyBorder="1" applyAlignment="1">
      <alignment/>
    </xf>
    <xf numFmtId="193" fontId="29" fillId="35" borderId="10" xfId="0" applyNumberFormat="1" applyFont="1" applyFill="1" applyBorder="1" applyAlignment="1" applyProtection="1">
      <alignment horizontal="right" vertical="center"/>
      <protection/>
    </xf>
    <xf numFmtId="193" fontId="30" fillId="35" borderId="10" xfId="0" applyNumberFormat="1" applyFont="1" applyFill="1" applyBorder="1" applyAlignment="1">
      <alignment horizontal="right" vertical="center"/>
    </xf>
    <xf numFmtId="193" fontId="26" fillId="35" borderId="0" xfId="0" applyNumberFormat="1" applyFont="1" applyFill="1" applyAlignment="1">
      <alignment horizontal="right"/>
    </xf>
    <xf numFmtId="49" fontId="7" fillId="35" borderId="0" xfId="0" applyNumberFormat="1" applyFont="1" applyFill="1" applyAlignment="1">
      <alignment horizontal="right"/>
    </xf>
    <xf numFmtId="0" fontId="26" fillId="35" borderId="10" xfId="0" applyFont="1" applyFill="1" applyBorder="1" applyAlignment="1" applyProtection="1">
      <alignment horizontal="left" vertical="center"/>
      <protection/>
    </xf>
    <xf numFmtId="0" fontId="29" fillId="35" borderId="10" xfId="0" applyFont="1" applyFill="1" applyBorder="1" applyAlignment="1" applyProtection="1">
      <alignment horizontal="left" vertical="center"/>
      <protection/>
    </xf>
    <xf numFmtId="0" fontId="26" fillId="35" borderId="0" xfId="0" applyFont="1" applyFill="1" applyAlignment="1">
      <alignment horizontal="right"/>
    </xf>
    <xf numFmtId="193" fontId="7" fillId="34" borderId="10" xfId="0" applyNumberFormat="1" applyFont="1" applyFill="1" applyBorder="1" applyAlignment="1" applyProtection="1">
      <alignment horizontal="left" vertical="center"/>
      <protection/>
    </xf>
    <xf numFmtId="193" fontId="7" fillId="34" borderId="10" xfId="0" applyNumberFormat="1" applyFont="1" applyFill="1" applyBorder="1" applyAlignment="1" applyProtection="1">
      <alignment horizontal="right" vertical="center"/>
      <protection/>
    </xf>
    <xf numFmtId="193" fontId="7" fillId="34" borderId="10" xfId="62" applyNumberFormat="1" applyFont="1" applyFill="1" applyBorder="1" applyAlignment="1" applyProtection="1">
      <alignment horizontal="right" vertical="center"/>
      <protection/>
    </xf>
    <xf numFmtId="193" fontId="7" fillId="34" borderId="10" xfId="0" applyNumberFormat="1" applyFont="1" applyFill="1" applyBorder="1" applyAlignment="1">
      <alignment horizontal="right"/>
    </xf>
    <xf numFmtId="193" fontId="7" fillId="34" borderId="10" xfId="66" applyNumberFormat="1" applyFont="1" applyFill="1" applyBorder="1" applyAlignment="1" applyProtection="1">
      <alignment horizontal="right" vertical="center"/>
      <protection/>
    </xf>
    <xf numFmtId="193" fontId="7" fillId="34" borderId="10" xfId="43" applyNumberFormat="1" applyFont="1" applyFill="1" applyBorder="1" applyAlignment="1">
      <alignment horizontal="right"/>
    </xf>
    <xf numFmtId="193" fontId="7" fillId="35" borderId="10" xfId="0" applyNumberFormat="1" applyFont="1" applyFill="1" applyBorder="1" applyAlignment="1" applyProtection="1">
      <alignment horizontal="left" vertical="center"/>
      <protection/>
    </xf>
    <xf numFmtId="193" fontId="7" fillId="35" borderId="10" xfId="62" applyNumberFormat="1" applyFont="1" applyFill="1" applyBorder="1" applyAlignment="1" applyProtection="1">
      <alignment horizontal="right" vertical="center"/>
      <protection/>
    </xf>
    <xf numFmtId="193" fontId="7" fillId="35" borderId="10" xfId="0" applyNumberFormat="1" applyFont="1" applyFill="1" applyBorder="1" applyAlignment="1" applyProtection="1">
      <alignment horizontal="right" vertical="center"/>
      <protection/>
    </xf>
    <xf numFmtId="193" fontId="7" fillId="35" borderId="0" xfId="0" applyNumberFormat="1" applyFont="1" applyFill="1" applyAlignment="1">
      <alignment horizontal="right"/>
    </xf>
    <xf numFmtId="0" fontId="7" fillId="0" borderId="0" xfId="61" applyFont="1">
      <alignment/>
      <protection/>
    </xf>
    <xf numFmtId="193" fontId="7" fillId="0" borderId="0" xfId="61" applyNumberFormat="1" applyFont="1">
      <alignment/>
      <protection/>
    </xf>
    <xf numFmtId="193" fontId="7" fillId="34" borderId="0" xfId="0" applyNumberFormat="1" applyFont="1" applyFill="1" applyAlignment="1">
      <alignment horizontal="right"/>
    </xf>
    <xf numFmtId="193" fontId="7" fillId="34" borderId="10" xfId="0" applyNumberFormat="1" applyFont="1" applyFill="1" applyBorder="1" applyAlignment="1">
      <alignment horizontal="right" vertical="center"/>
    </xf>
    <xf numFmtId="193" fontId="7" fillId="34" borderId="14" xfId="0" applyNumberFormat="1" applyFont="1" applyFill="1" applyBorder="1" applyAlignment="1" applyProtection="1">
      <alignment horizontal="left" vertical="center"/>
      <protection locked="0"/>
    </xf>
    <xf numFmtId="193" fontId="3" fillId="34" borderId="10" xfId="61" applyNumberFormat="1" applyFont="1" applyFill="1" applyBorder="1" applyAlignment="1">
      <alignment horizontal="left"/>
      <protection/>
    </xf>
    <xf numFmtId="193" fontId="3" fillId="34" borderId="10" xfId="62" applyNumberFormat="1" applyFont="1" applyFill="1" applyBorder="1" applyAlignment="1" applyProtection="1">
      <alignment horizontal="left" vertical="center"/>
      <protection/>
    </xf>
    <xf numFmtId="193" fontId="3" fillId="34" borderId="10" xfId="0" applyNumberFormat="1" applyFont="1" applyFill="1" applyBorder="1" applyAlignment="1" applyProtection="1">
      <alignment horizontal="left" vertical="center"/>
      <protection locked="0"/>
    </xf>
    <xf numFmtId="193" fontId="3" fillId="34" borderId="10" xfId="60" applyNumberFormat="1" applyFont="1" applyFill="1" applyBorder="1" applyAlignment="1" applyProtection="1">
      <alignment horizontal="left" vertical="center"/>
      <protection locked="0"/>
    </xf>
    <xf numFmtId="193" fontId="3" fillId="34" borderId="11" xfId="62" applyNumberFormat="1" applyFont="1" applyFill="1" applyBorder="1" applyAlignment="1" applyProtection="1">
      <alignment horizontal="left" vertical="center"/>
      <protection/>
    </xf>
    <xf numFmtId="193" fontId="3" fillId="34" borderId="14" xfId="0" applyNumberFormat="1" applyFont="1" applyFill="1" applyBorder="1" applyAlignment="1" applyProtection="1">
      <alignment horizontal="left" vertical="center"/>
      <protection locked="0"/>
    </xf>
    <xf numFmtId="193" fontId="3" fillId="34" borderId="10" xfId="60" applyNumberFormat="1" applyFont="1" applyFill="1" applyBorder="1" applyAlignment="1" applyProtection="1">
      <alignment horizontal="left" vertical="center" wrapText="1"/>
      <protection locked="0"/>
    </xf>
    <xf numFmtId="193" fontId="3" fillId="34" borderId="10" xfId="0" applyNumberFormat="1" applyFont="1" applyFill="1" applyBorder="1" applyAlignment="1" applyProtection="1">
      <alignment horizontal="left" vertical="center" wrapText="1"/>
      <protection/>
    </xf>
    <xf numFmtId="193" fontId="3" fillId="34" borderId="0" xfId="0" applyNumberFormat="1" applyFont="1" applyFill="1" applyAlignment="1">
      <alignment horizontal="left" vertical="center" wrapText="1"/>
    </xf>
    <xf numFmtId="193" fontId="3" fillId="34" borderId="11" xfId="0" applyNumberFormat="1" applyFont="1" applyFill="1" applyBorder="1" applyAlignment="1" applyProtection="1">
      <alignment horizontal="left" vertical="center" wrapText="1"/>
      <protection/>
    </xf>
    <xf numFmtId="3" fontId="3" fillId="34" borderId="10" xfId="0" applyNumberFormat="1" applyFont="1" applyFill="1" applyBorder="1" applyAlignment="1" applyProtection="1">
      <alignment horizontal="left" vertical="center" wrapText="1" shrinkToFit="1"/>
      <protection locked="0"/>
    </xf>
    <xf numFmtId="3" fontId="3" fillId="34" borderId="10" xfId="0" applyNumberFormat="1" applyFont="1" applyFill="1" applyBorder="1" applyAlignment="1" applyProtection="1">
      <alignment horizontal="right" vertical="center" shrinkToFit="1"/>
      <protection/>
    </xf>
    <xf numFmtId="193" fontId="0" fillId="35" borderId="0" xfId="0" applyNumberFormat="1" applyFill="1" applyAlignment="1">
      <alignment/>
    </xf>
    <xf numFmtId="49" fontId="0" fillId="35" borderId="0" xfId="0" applyNumberFormat="1" applyFont="1" applyFill="1" applyAlignment="1">
      <alignment/>
    </xf>
    <xf numFmtId="0" fontId="32" fillId="35" borderId="10" xfId="0" applyFont="1" applyFill="1" applyBorder="1" applyAlignment="1" applyProtection="1">
      <alignment horizontal="center" vertical="center"/>
      <protection/>
    </xf>
    <xf numFmtId="0" fontId="15" fillId="35" borderId="10" xfId="0" applyFont="1" applyFill="1" applyBorder="1" applyAlignment="1" applyProtection="1">
      <alignment horizontal="left" vertical="center"/>
      <protection/>
    </xf>
    <xf numFmtId="3" fontId="32" fillId="35" borderId="10" xfId="0" applyNumberFormat="1" applyFont="1" applyFill="1" applyBorder="1" applyAlignment="1" applyProtection="1">
      <alignment horizontal="right" vertical="center"/>
      <protection/>
    </xf>
    <xf numFmtId="193" fontId="3" fillId="35" borderId="0" xfId="0" applyNumberFormat="1" applyFont="1" applyFill="1" applyAlignment="1">
      <alignment/>
    </xf>
    <xf numFmtId="0" fontId="32" fillId="35" borderId="0" xfId="0" applyFont="1" applyFill="1" applyAlignment="1">
      <alignment/>
    </xf>
    <xf numFmtId="3" fontId="3" fillId="35" borderId="10" xfId="66" applyNumberFormat="1" applyFont="1" applyFill="1" applyBorder="1" applyAlignment="1">
      <alignment horizontal="right" vertical="center"/>
    </xf>
    <xf numFmtId="3" fontId="3" fillId="34" borderId="10" xfId="0" applyNumberFormat="1" applyFont="1" applyFill="1" applyBorder="1" applyAlignment="1" applyProtection="1">
      <alignment horizontal="right" vertical="center"/>
      <protection/>
    </xf>
    <xf numFmtId="3" fontId="3" fillId="34" borderId="10" xfId="62" applyNumberFormat="1" applyFont="1" applyFill="1" applyBorder="1" applyAlignment="1" applyProtection="1">
      <alignment horizontal="right" vertical="center"/>
      <protection/>
    </xf>
    <xf numFmtId="3" fontId="3" fillId="34" borderId="10" xfId="66" applyNumberFormat="1" applyFont="1" applyFill="1" applyBorder="1" applyAlignment="1" applyProtection="1">
      <alignment horizontal="right" vertical="center"/>
      <protection/>
    </xf>
    <xf numFmtId="3" fontId="3" fillId="34" borderId="10" xfId="0" applyNumberFormat="1" applyFont="1" applyFill="1" applyBorder="1" applyAlignment="1">
      <alignment horizontal="right" vertical="center"/>
    </xf>
    <xf numFmtId="3" fontId="3" fillId="34" borderId="0" xfId="0" applyNumberFormat="1" applyFont="1" applyFill="1" applyAlignment="1">
      <alignment horizontal="right" vertical="center"/>
    </xf>
    <xf numFmtId="3" fontId="3" fillId="35" borderId="10" xfId="0" applyNumberFormat="1" applyFont="1" applyFill="1" applyBorder="1" applyAlignment="1" applyProtection="1">
      <alignment horizontal="right" vertical="center"/>
      <protection/>
    </xf>
    <xf numFmtId="3" fontId="33" fillId="34" borderId="10" xfId="0" applyNumberFormat="1" applyFont="1" applyFill="1" applyBorder="1" applyAlignment="1" applyProtection="1">
      <alignment horizontal="right" vertical="center"/>
      <protection/>
    </xf>
    <xf numFmtId="3" fontId="32" fillId="34" borderId="10" xfId="0" applyNumberFormat="1" applyFont="1" applyFill="1" applyBorder="1" applyAlignment="1" applyProtection="1">
      <alignment horizontal="right" vertical="center" shrinkToFit="1"/>
      <protection/>
    </xf>
    <xf numFmtId="3" fontId="34" fillId="34" borderId="10" xfId="0" applyNumberFormat="1" applyFont="1" applyFill="1" applyBorder="1" applyAlignment="1" applyProtection="1">
      <alignment horizontal="right" vertical="center" shrinkToFit="1"/>
      <protection locked="0"/>
    </xf>
    <xf numFmtId="3" fontId="32" fillId="34" borderId="10" xfId="0" applyNumberFormat="1" applyFont="1" applyFill="1" applyBorder="1" applyAlignment="1">
      <alignment horizontal="right" vertical="center" shrinkToFit="1"/>
    </xf>
    <xf numFmtId="3" fontId="3" fillId="34" borderId="10" xfId="65" applyNumberFormat="1" applyFont="1" applyFill="1" applyBorder="1" applyAlignment="1" applyProtection="1">
      <alignment horizontal="right" vertical="center"/>
      <protection/>
    </xf>
    <xf numFmtId="3" fontId="3" fillId="34" borderId="10" xfId="62" applyNumberFormat="1" applyFont="1" applyFill="1" applyBorder="1" applyAlignment="1">
      <alignment horizontal="right" vertical="center"/>
      <protection/>
    </xf>
    <xf numFmtId="3" fontId="3" fillId="34" borderId="10" xfId="43" applyNumberFormat="1" applyFont="1" applyFill="1" applyBorder="1" applyAlignment="1" applyProtection="1">
      <alignment horizontal="right" vertical="center"/>
      <protection locked="0"/>
    </xf>
    <xf numFmtId="3" fontId="3" fillId="34" borderId="11" xfId="62" applyNumberFormat="1" applyFont="1" applyFill="1" applyBorder="1" applyAlignment="1" applyProtection="1">
      <alignment horizontal="right" vertical="center"/>
      <protection/>
    </xf>
    <xf numFmtId="3" fontId="3" fillId="34" borderId="10" xfId="0" applyNumberFormat="1" applyFont="1" applyFill="1" applyBorder="1" applyAlignment="1" applyProtection="1">
      <alignment horizontal="right" vertical="center"/>
      <protection hidden="1"/>
    </xf>
    <xf numFmtId="3" fontId="3" fillId="34" borderId="10" xfId="66" applyNumberFormat="1" applyFont="1" applyFill="1" applyBorder="1" applyAlignment="1" applyProtection="1">
      <alignment horizontal="right" vertical="center"/>
      <protection hidden="1"/>
    </xf>
    <xf numFmtId="193" fontId="31" fillId="34" borderId="10" xfId="0" applyNumberFormat="1" applyFont="1" applyFill="1" applyBorder="1" applyAlignment="1" applyProtection="1">
      <alignment horizontal="right" vertical="center"/>
      <protection/>
    </xf>
    <xf numFmtId="193" fontId="7" fillId="34" borderId="10" xfId="0" applyNumberFormat="1" applyFont="1" applyFill="1" applyBorder="1" applyAlignment="1" applyProtection="1">
      <alignment horizontal="right"/>
      <protection/>
    </xf>
    <xf numFmtId="193" fontId="7" fillId="34" borderId="10" xfId="66" applyNumberFormat="1" applyFont="1" applyFill="1" applyBorder="1" applyAlignment="1" applyProtection="1">
      <alignment horizontal="right"/>
      <protection/>
    </xf>
    <xf numFmtId="193" fontId="7" fillId="34" borderId="10" xfId="61" applyNumberFormat="1" applyFont="1" applyFill="1" applyBorder="1" applyAlignment="1">
      <alignment horizontal="left"/>
      <protection/>
    </xf>
    <xf numFmtId="193" fontId="7" fillId="34" borderId="10" xfId="62" applyNumberFormat="1" applyFont="1" applyFill="1" applyBorder="1" applyAlignment="1" applyProtection="1">
      <alignment horizontal="left" vertical="center"/>
      <protection/>
    </xf>
    <xf numFmtId="193" fontId="7" fillId="34" borderId="10" xfId="43" applyNumberFormat="1" applyFont="1" applyFill="1" applyBorder="1" applyAlignment="1" applyProtection="1">
      <alignment horizontal="center" vertical="center"/>
      <protection/>
    </xf>
    <xf numFmtId="193" fontId="7" fillId="34" borderId="10" xfId="43" applyNumberFormat="1" applyFont="1" applyFill="1" applyBorder="1" applyAlignment="1">
      <alignment horizontal="center"/>
    </xf>
    <xf numFmtId="193" fontId="7" fillId="34" borderId="10" xfId="0" applyNumberFormat="1" applyFont="1" applyFill="1" applyBorder="1" applyAlignment="1" applyProtection="1">
      <alignment horizontal="left" vertical="center" shrinkToFit="1"/>
      <protection locked="0"/>
    </xf>
    <xf numFmtId="193" fontId="7" fillId="34" borderId="10" xfId="0" applyNumberFormat="1" applyFont="1" applyFill="1" applyBorder="1" applyAlignment="1" applyProtection="1">
      <alignment horizontal="right" vertical="center" shrinkToFit="1"/>
      <protection/>
    </xf>
    <xf numFmtId="193" fontId="7" fillId="34" borderId="10" xfId="0" applyNumberFormat="1" applyFont="1" applyFill="1" applyBorder="1" applyAlignment="1" applyProtection="1">
      <alignment horizontal="right" vertical="center" shrinkToFit="1"/>
      <protection locked="0"/>
    </xf>
    <xf numFmtId="193" fontId="7" fillId="34" borderId="10" xfId="0" applyNumberFormat="1" applyFont="1" applyFill="1" applyBorder="1" applyAlignment="1">
      <alignment vertical="center" shrinkToFit="1"/>
    </xf>
    <xf numFmtId="193" fontId="7" fillId="34" borderId="10" xfId="66" applyNumberFormat="1" applyFont="1" applyFill="1" applyBorder="1" applyAlignment="1" applyProtection="1">
      <alignment horizontal="right" vertical="center" shrinkToFit="1"/>
      <protection/>
    </xf>
    <xf numFmtId="193" fontId="7" fillId="34" borderId="10" xfId="43" applyNumberFormat="1" applyFont="1" applyFill="1" applyBorder="1" applyAlignment="1" applyProtection="1">
      <alignment horizontal="left" vertical="center"/>
      <protection/>
    </xf>
    <xf numFmtId="193" fontId="7" fillId="34" borderId="10" xfId="43" applyNumberFormat="1" applyFont="1" applyFill="1" applyBorder="1" applyAlignment="1">
      <alignment horizontal="center" vertical="center"/>
    </xf>
    <xf numFmtId="193" fontId="7" fillId="34" borderId="10" xfId="43" applyNumberFormat="1" applyFont="1" applyFill="1" applyBorder="1" applyAlignment="1">
      <alignment vertical="center"/>
    </xf>
    <xf numFmtId="193" fontId="7" fillId="34" borderId="10" xfId="65" applyNumberFormat="1" applyFont="1" applyFill="1" applyBorder="1" applyAlignment="1" applyProtection="1">
      <alignment horizontal="right" vertical="center"/>
      <protection/>
    </xf>
    <xf numFmtId="193" fontId="7" fillId="34" borderId="10" xfId="62" applyNumberFormat="1" applyFont="1" applyFill="1" applyBorder="1" applyAlignment="1">
      <alignment horizontal="right"/>
      <protection/>
    </xf>
    <xf numFmtId="193" fontId="31" fillId="34" borderId="10" xfId="62" applyNumberFormat="1" applyFont="1" applyFill="1" applyBorder="1" applyAlignment="1" applyProtection="1">
      <alignment horizontal="right" vertical="center"/>
      <protection/>
    </xf>
    <xf numFmtId="193" fontId="7" fillId="34" borderId="10" xfId="0" applyNumberFormat="1" applyFont="1" applyFill="1" applyBorder="1" applyAlignment="1" applyProtection="1">
      <alignment horizontal="left" vertical="center"/>
      <protection locked="0"/>
    </xf>
    <xf numFmtId="193" fontId="7" fillId="34" borderId="10" xfId="60" applyNumberFormat="1" applyFont="1" applyFill="1" applyBorder="1" applyAlignment="1" applyProtection="1">
      <alignment horizontal="center" vertical="center"/>
      <protection locked="0"/>
    </xf>
    <xf numFmtId="193" fontId="7" fillId="34" borderId="10" xfId="60" applyNumberFormat="1" applyFont="1" applyFill="1" applyBorder="1" applyAlignment="1" applyProtection="1">
      <alignment horizontal="left" vertical="center"/>
      <protection locked="0"/>
    </xf>
    <xf numFmtId="193" fontId="7" fillId="34" borderId="10" xfId="62" applyNumberFormat="1" applyFont="1" applyFill="1" applyBorder="1" applyAlignment="1" applyProtection="1">
      <alignment horizontal="center" vertical="center"/>
      <protection/>
    </xf>
    <xf numFmtId="193" fontId="7" fillId="34" borderId="11" xfId="62" applyNumberFormat="1" applyFont="1" applyFill="1" applyBorder="1" applyAlignment="1" applyProtection="1">
      <alignment horizontal="left" vertical="center"/>
      <protection/>
    </xf>
    <xf numFmtId="193" fontId="7" fillId="34" borderId="11" xfId="62" applyNumberFormat="1" applyFont="1" applyFill="1" applyBorder="1" applyAlignment="1" applyProtection="1">
      <alignment horizontal="center" vertical="center"/>
      <protection/>
    </xf>
    <xf numFmtId="193" fontId="7" fillId="34" borderId="10" xfId="0" applyNumberFormat="1" applyFont="1" applyFill="1" applyBorder="1" applyAlignment="1" applyProtection="1">
      <alignment horizontal="center" vertical="center"/>
      <protection hidden="1"/>
    </xf>
    <xf numFmtId="193" fontId="7" fillId="34" borderId="10" xfId="66" applyNumberFormat="1" applyFont="1" applyFill="1" applyBorder="1" applyAlignment="1" applyProtection="1">
      <alignment horizontal="center" vertical="center"/>
      <protection hidden="1"/>
    </xf>
    <xf numFmtId="193" fontId="7" fillId="34" borderId="10" xfId="0" applyNumberFormat="1" applyFont="1" applyFill="1" applyBorder="1" applyAlignment="1" applyProtection="1">
      <alignment horizontal="center"/>
      <protection hidden="1"/>
    </xf>
    <xf numFmtId="193" fontId="7" fillId="34" borderId="10" xfId="0" applyNumberFormat="1" applyFont="1" applyFill="1" applyBorder="1" applyAlignment="1" applyProtection="1">
      <alignment horizontal="left" vertical="center" wrapText="1"/>
      <protection/>
    </xf>
    <xf numFmtId="193" fontId="7" fillId="34" borderId="0" xfId="0" applyNumberFormat="1" applyFont="1" applyFill="1" applyAlignment="1">
      <alignment horizontal="left" vertical="center" wrapText="1"/>
    </xf>
    <xf numFmtId="193" fontId="7" fillId="34" borderId="11" xfId="0" applyNumberFormat="1" applyFont="1" applyFill="1" applyBorder="1" applyAlignment="1" applyProtection="1">
      <alignment horizontal="left" vertical="center" wrapText="1"/>
      <protection/>
    </xf>
    <xf numFmtId="193" fontId="7" fillId="34" borderId="15" xfId="66" applyNumberFormat="1" applyFont="1" applyFill="1" applyBorder="1" applyAlignment="1" applyProtection="1">
      <alignment horizontal="right" vertical="center"/>
      <protection/>
    </xf>
    <xf numFmtId="193" fontId="7" fillId="34" borderId="16" xfId="0" applyNumberFormat="1" applyFont="1" applyFill="1" applyBorder="1" applyAlignment="1">
      <alignment horizontal="right" vertical="center"/>
    </xf>
    <xf numFmtId="193" fontId="7" fillId="35" borderId="10" xfId="61" applyNumberFormat="1" applyFont="1" applyFill="1" applyBorder="1" applyAlignment="1">
      <alignment horizontal="left"/>
      <protection/>
    </xf>
    <xf numFmtId="0" fontId="0" fillId="0" borderId="0" xfId="61" applyFont="1" applyAlignment="1">
      <alignment horizontal="left"/>
      <protection/>
    </xf>
    <xf numFmtId="0" fontId="0" fillId="0" borderId="0" xfId="61" applyFont="1" applyBorder="1" applyAlignment="1">
      <alignment horizontal="center" wrapText="1"/>
      <protection/>
    </xf>
    <xf numFmtId="0" fontId="17" fillId="0" borderId="0" xfId="61" applyFont="1" applyBorder="1" applyAlignment="1">
      <alignment horizontal="center" wrapText="1"/>
      <protection/>
    </xf>
    <xf numFmtId="0" fontId="0" fillId="0" borderId="0" xfId="61" applyFont="1" applyBorder="1" applyAlignment="1">
      <alignment wrapText="1"/>
      <protection/>
    </xf>
    <xf numFmtId="0" fontId="17" fillId="0" borderId="0" xfId="61" applyFont="1" applyBorder="1" applyAlignment="1">
      <alignment wrapText="1"/>
      <protection/>
    </xf>
    <xf numFmtId="0" fontId="0" fillId="33" borderId="0" xfId="61" applyFont="1" applyFill="1" applyBorder="1" applyAlignment="1">
      <alignment horizontal="center"/>
      <protection/>
    </xf>
    <xf numFmtId="0" fontId="0" fillId="0" borderId="0" xfId="61" applyFont="1">
      <alignment/>
      <protection/>
    </xf>
    <xf numFmtId="0" fontId="17" fillId="0" borderId="0" xfId="61" applyFont="1">
      <alignment/>
      <protection/>
    </xf>
    <xf numFmtId="0" fontId="0" fillId="33" borderId="0" xfId="61" applyFont="1" applyFill="1" applyBorder="1" applyAlignment="1">
      <alignment horizontal="left"/>
      <protection/>
    </xf>
    <xf numFmtId="0" fontId="17" fillId="33" borderId="0" xfId="61" applyFont="1" applyFill="1" applyBorder="1" applyAlignment="1">
      <alignment horizontal="center"/>
      <protection/>
    </xf>
    <xf numFmtId="49" fontId="13" fillId="0" borderId="17" xfId="0" applyNumberFormat="1" applyFont="1" applyFill="1" applyBorder="1" applyAlignment="1">
      <alignment horizontal="center"/>
    </xf>
    <xf numFmtId="49" fontId="12" fillId="0" borderId="0" xfId="0" applyNumberFormat="1" applyFont="1" applyFill="1" applyBorder="1" applyAlignment="1">
      <alignment horizontal="center"/>
    </xf>
    <xf numFmtId="49" fontId="16" fillId="0" borderId="0" xfId="0" applyNumberFormat="1" applyFont="1" applyFill="1" applyAlignment="1">
      <alignment horizontal="center"/>
    </xf>
    <xf numFmtId="0" fontId="6"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distributed" wrapText="1"/>
    </xf>
    <xf numFmtId="0" fontId="3" fillId="0" borderId="16" xfId="0" applyFont="1" applyFill="1" applyBorder="1" applyAlignment="1">
      <alignment horizontal="center" vertical="distributed"/>
    </xf>
    <xf numFmtId="49" fontId="6" fillId="0" borderId="22"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3" fillId="0" borderId="23" xfId="0" applyFont="1" applyFill="1" applyBorder="1" applyAlignment="1">
      <alignment/>
    </xf>
    <xf numFmtId="49" fontId="6" fillId="0" borderId="15" xfId="0" applyNumberFormat="1" applyFont="1" applyFill="1" applyBorder="1" applyAlignment="1">
      <alignment horizontal="center" vertical="center" wrapText="1"/>
    </xf>
    <xf numFmtId="49" fontId="11" fillId="0" borderId="0" xfId="0" applyNumberFormat="1" applyFont="1" applyFill="1" applyAlignment="1">
      <alignment horizontal="left"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2" fillId="0" borderId="0" xfId="0" applyNumberFormat="1" applyFont="1" applyFill="1" applyAlignment="1">
      <alignment horizontal="center" wrapText="1"/>
    </xf>
    <xf numFmtId="49" fontId="7" fillId="33" borderId="0" xfId="0" applyNumberFormat="1" applyFont="1" applyFill="1" applyAlignment="1">
      <alignment horizontal="left"/>
    </xf>
    <xf numFmtId="49" fontId="7" fillId="33" borderId="19" xfId="0" applyNumberFormat="1" applyFont="1" applyFill="1" applyBorder="1" applyAlignment="1">
      <alignment horizontal="center" vertical="center" wrapText="1"/>
    </xf>
    <xf numFmtId="49" fontId="7" fillId="33" borderId="21" xfId="0" applyNumberFormat="1" applyFont="1" applyFill="1" applyBorder="1" applyAlignment="1">
      <alignment horizontal="center" vertical="center" wrapText="1"/>
    </xf>
    <xf numFmtId="49" fontId="7" fillId="33" borderId="24" xfId="0" applyNumberFormat="1" applyFont="1" applyFill="1" applyBorder="1" applyAlignment="1">
      <alignment horizontal="center" vertical="center" wrapText="1"/>
    </xf>
    <xf numFmtId="49" fontId="7" fillId="33" borderId="18" xfId="0" applyNumberFormat="1" applyFont="1" applyFill="1" applyBorder="1" applyAlignment="1" applyProtection="1">
      <alignment horizontal="center" vertical="center" wrapText="1"/>
      <protection/>
    </xf>
    <xf numFmtId="49" fontId="7" fillId="33" borderId="17" xfId="0" applyNumberFormat="1" applyFont="1" applyFill="1" applyBorder="1" applyAlignment="1" applyProtection="1">
      <alignment horizontal="center" vertical="center" wrapText="1"/>
      <protection/>
    </xf>
    <xf numFmtId="49" fontId="7" fillId="33" borderId="19" xfId="0" applyNumberFormat="1" applyFont="1" applyFill="1" applyBorder="1" applyAlignment="1" applyProtection="1">
      <alignment horizontal="center" vertical="center" wrapText="1"/>
      <protection/>
    </xf>
    <xf numFmtId="49" fontId="26" fillId="33" borderId="11" xfId="0" applyNumberFormat="1" applyFont="1" applyFill="1" applyBorder="1" applyAlignment="1">
      <alignment horizontal="center" vertical="center" wrapText="1"/>
    </xf>
    <xf numFmtId="49" fontId="26" fillId="33" borderId="23" xfId="0" applyNumberFormat="1" applyFont="1" applyFill="1" applyBorder="1" applyAlignment="1">
      <alignment horizontal="center" vertical="center" wrapText="1"/>
    </xf>
    <xf numFmtId="49" fontId="26" fillId="33" borderId="13" xfId="0" applyNumberFormat="1" applyFont="1" applyFill="1" applyBorder="1" applyAlignment="1">
      <alignment horizontal="center" vertical="center" wrapText="1"/>
    </xf>
    <xf numFmtId="49" fontId="7" fillId="33" borderId="15" xfId="0" applyNumberFormat="1" applyFont="1" applyFill="1" applyBorder="1" applyAlignment="1" applyProtection="1">
      <alignment horizontal="center" vertical="center" wrapText="1"/>
      <protection/>
    </xf>
    <xf numFmtId="49" fontId="7" fillId="33" borderId="22" xfId="0" applyNumberFormat="1" applyFont="1" applyFill="1" applyBorder="1" applyAlignment="1" applyProtection="1">
      <alignment horizontal="center" vertical="center" wrapText="1"/>
      <protection/>
    </xf>
    <xf numFmtId="49" fontId="7" fillId="33" borderId="16" xfId="0" applyNumberFormat="1" applyFont="1" applyFill="1" applyBorder="1" applyAlignment="1" applyProtection="1">
      <alignment horizontal="center" vertical="center" wrapText="1"/>
      <protection/>
    </xf>
    <xf numFmtId="49" fontId="7" fillId="33" borderId="11"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28" fillId="33" borderId="15" xfId="0" applyNumberFormat="1" applyFont="1" applyFill="1" applyBorder="1" applyAlignment="1" applyProtection="1">
      <alignment horizontal="center" vertical="center" wrapText="1"/>
      <protection/>
    </xf>
    <xf numFmtId="49" fontId="28" fillId="33" borderId="22" xfId="0" applyNumberFormat="1" applyFont="1" applyFill="1" applyBorder="1" applyAlignment="1">
      <alignment horizontal="center" vertical="center" wrapText="1"/>
    </xf>
    <xf numFmtId="49" fontId="28" fillId="33" borderId="16" xfId="0" applyNumberFormat="1" applyFont="1" applyFill="1" applyBorder="1" applyAlignment="1">
      <alignment horizontal="center" vertical="center" wrapText="1"/>
    </xf>
    <xf numFmtId="0" fontId="28" fillId="33" borderId="18" xfId="0" applyNumberFormat="1" applyFont="1" applyFill="1" applyBorder="1" applyAlignment="1">
      <alignment horizontal="left" vertical="center" wrapText="1"/>
    </xf>
    <xf numFmtId="0" fontId="28" fillId="33" borderId="19" xfId="0" applyNumberFormat="1" applyFont="1" applyFill="1" applyBorder="1" applyAlignment="1">
      <alignment horizontal="left" vertical="center" wrapText="1"/>
    </xf>
    <xf numFmtId="0" fontId="28" fillId="33" borderId="20" xfId="0" applyNumberFormat="1" applyFont="1" applyFill="1" applyBorder="1" applyAlignment="1">
      <alignment horizontal="left" vertical="center" wrapText="1"/>
    </xf>
    <xf numFmtId="0" fontId="28" fillId="33" borderId="21" xfId="0" applyNumberFormat="1" applyFont="1" applyFill="1" applyBorder="1" applyAlignment="1">
      <alignment horizontal="left" vertical="center" wrapText="1"/>
    </xf>
    <xf numFmtId="0" fontId="28" fillId="33" borderId="25" xfId="0" applyNumberFormat="1" applyFont="1" applyFill="1" applyBorder="1" applyAlignment="1">
      <alignment horizontal="left" vertical="center" wrapText="1"/>
    </xf>
    <xf numFmtId="0" fontId="28" fillId="33" borderId="24" xfId="0" applyNumberFormat="1" applyFont="1" applyFill="1" applyBorder="1" applyAlignment="1">
      <alignment horizontal="left" vertical="center" wrapText="1"/>
    </xf>
    <xf numFmtId="49" fontId="26" fillId="33" borderId="11" xfId="0" applyNumberFormat="1" applyFont="1" applyFill="1" applyBorder="1" applyAlignment="1" applyProtection="1">
      <alignment horizontal="center" vertical="center" wrapText="1"/>
      <protection/>
    </xf>
    <xf numFmtId="49" fontId="7" fillId="33" borderId="11" xfId="0" applyNumberFormat="1" applyFont="1" applyFill="1" applyBorder="1" applyAlignment="1" applyProtection="1">
      <alignment horizontal="center" vertical="center" wrapText="1"/>
      <protection/>
    </xf>
    <xf numFmtId="49" fontId="7" fillId="33" borderId="23" xfId="0" applyNumberFormat="1" applyFont="1" applyFill="1" applyBorder="1" applyAlignment="1">
      <alignment horizontal="center" vertical="center" wrapText="1"/>
    </xf>
    <xf numFmtId="49" fontId="7" fillId="33" borderId="18" xfId="0" applyNumberFormat="1" applyFont="1" applyFill="1" applyBorder="1" applyAlignment="1">
      <alignment horizontal="center" vertical="center" wrapText="1"/>
    </xf>
    <xf numFmtId="49" fontId="7" fillId="33" borderId="20" xfId="0" applyNumberFormat="1" applyFont="1" applyFill="1" applyBorder="1" applyAlignment="1">
      <alignment horizontal="center" vertical="center" wrapText="1"/>
    </xf>
    <xf numFmtId="49" fontId="7" fillId="33" borderId="25" xfId="0" applyNumberFormat="1" applyFont="1" applyFill="1" applyBorder="1" applyAlignment="1">
      <alignment horizontal="center" vertical="center" wrapText="1"/>
    </xf>
    <xf numFmtId="49" fontId="28" fillId="33" borderId="0" xfId="0" applyNumberFormat="1" applyFont="1" applyFill="1" applyAlignment="1">
      <alignment horizontal="center"/>
    </xf>
    <xf numFmtId="49" fontId="28" fillId="33" borderId="0" xfId="0" applyNumberFormat="1" applyFont="1" applyFill="1" applyAlignment="1">
      <alignment horizontal="center" wrapText="1"/>
    </xf>
    <xf numFmtId="1" fontId="28" fillId="33" borderId="15" xfId="0" applyNumberFormat="1" applyFont="1" applyFill="1" applyBorder="1" applyAlignment="1">
      <alignment horizontal="center" vertical="center"/>
    </xf>
    <xf numFmtId="1" fontId="28" fillId="33" borderId="22" xfId="0" applyNumberFormat="1" applyFont="1" applyFill="1" applyBorder="1" applyAlignment="1">
      <alignment horizontal="center" vertical="center"/>
    </xf>
    <xf numFmtId="1" fontId="28" fillId="33" borderId="16" xfId="0" applyNumberFormat="1" applyFont="1" applyFill="1" applyBorder="1" applyAlignment="1">
      <alignment horizontal="center" vertical="center"/>
    </xf>
    <xf numFmtId="49" fontId="7" fillId="33" borderId="0" xfId="0" applyNumberFormat="1" applyFont="1" applyFill="1" applyBorder="1" applyAlignment="1">
      <alignment horizontal="left"/>
    </xf>
    <xf numFmtId="49" fontId="7" fillId="33" borderId="0" xfId="0" applyNumberFormat="1" applyFont="1" applyFill="1" applyAlignment="1">
      <alignment horizontal="center"/>
    </xf>
    <xf numFmtId="49" fontId="28" fillId="35" borderId="15" xfId="0" applyNumberFormat="1" applyFont="1" applyFill="1" applyBorder="1" applyAlignment="1" applyProtection="1">
      <alignment horizontal="left" vertical="center" wrapText="1"/>
      <protection/>
    </xf>
    <xf numFmtId="49" fontId="28" fillId="35" borderId="16" xfId="0" applyNumberFormat="1" applyFont="1" applyFill="1" applyBorder="1" applyAlignment="1" applyProtection="1">
      <alignment horizontal="left" vertical="center" wrapText="1"/>
      <protection/>
    </xf>
    <xf numFmtId="49" fontId="7" fillId="33" borderId="10" xfId="0" applyNumberFormat="1" applyFont="1" applyFill="1" applyBorder="1" applyAlignment="1" applyProtection="1">
      <alignment horizontal="center" vertical="center" wrapText="1"/>
      <protection/>
    </xf>
    <xf numFmtId="49" fontId="7" fillId="33" borderId="13" xfId="0" applyNumberFormat="1" applyFont="1" applyFill="1" applyBorder="1" applyAlignment="1" applyProtection="1">
      <alignment horizontal="center" vertical="center" wrapText="1"/>
      <protection/>
    </xf>
    <xf numFmtId="49" fontId="7" fillId="33" borderId="10" xfId="0" applyNumberFormat="1" applyFont="1" applyFill="1" applyBorder="1" applyAlignment="1">
      <alignment horizontal="center" vertical="center" wrapText="1"/>
    </xf>
    <xf numFmtId="49" fontId="28" fillId="33" borderId="15" xfId="0" applyNumberFormat="1" applyFont="1" applyFill="1" applyBorder="1" applyAlignment="1" applyProtection="1">
      <alignment horizontal="left" vertical="center" wrapText="1"/>
      <protection/>
    </xf>
    <xf numFmtId="49" fontId="28" fillId="33" borderId="16" xfId="0" applyNumberFormat="1" applyFont="1" applyFill="1" applyBorder="1" applyAlignment="1" applyProtection="1">
      <alignment horizontal="left" vertical="center" wrapText="1"/>
      <protection/>
    </xf>
    <xf numFmtId="0" fontId="0" fillId="0" borderId="0" xfId="61" applyFont="1" applyBorder="1" applyAlignment="1">
      <alignment horizontal="center" wrapText="1"/>
      <protection/>
    </xf>
    <xf numFmtId="0" fontId="2" fillId="0" borderId="0" xfId="61" applyFont="1" applyAlignment="1">
      <alignment horizontal="center"/>
      <protection/>
    </xf>
    <xf numFmtId="0" fontId="2" fillId="0" borderId="0" xfId="61" applyFont="1" applyBorder="1" applyAlignment="1">
      <alignment horizontal="center" wrapText="1"/>
      <protection/>
    </xf>
    <xf numFmtId="0" fontId="0" fillId="33" borderId="0" xfId="61" applyFont="1" applyFill="1" applyBorder="1" applyAlignment="1">
      <alignment horizontal="center"/>
      <protection/>
    </xf>
    <xf numFmtId="0" fontId="0" fillId="0" borderId="0" xfId="61" applyNumberFormat="1" applyFont="1" applyBorder="1" applyAlignment="1">
      <alignment horizontal="center"/>
      <protection/>
    </xf>
    <xf numFmtId="0" fontId="0" fillId="0" borderId="0" xfId="61" applyNumberFormat="1" applyFont="1" applyBorder="1" applyAlignment="1">
      <alignment horizontal="center"/>
      <protection/>
    </xf>
    <xf numFmtId="0" fontId="2" fillId="0" borderId="0" xfId="61" applyNumberFormat="1" applyFont="1" applyBorder="1" applyAlignment="1">
      <alignment horizontal="center" wrapText="1"/>
      <protection/>
    </xf>
    <xf numFmtId="0" fontId="2" fillId="0" borderId="0" xfId="61" applyNumberFormat="1" applyFont="1" applyBorder="1" applyAlignment="1">
      <alignment horizontal="center"/>
      <protection/>
    </xf>
    <xf numFmtId="0" fontId="2" fillId="33" borderId="0" xfId="61" applyFont="1" applyFill="1" applyBorder="1" applyAlignment="1">
      <alignment horizontal="center"/>
      <protection/>
    </xf>
    <xf numFmtId="49" fontId="0" fillId="33" borderId="0" xfId="0" applyNumberFormat="1" applyFont="1" applyFill="1" applyAlignment="1">
      <alignment horizontal="left"/>
    </xf>
    <xf numFmtId="49" fontId="4" fillId="33" borderId="18" xfId="0" applyNumberFormat="1" applyFont="1" applyFill="1" applyBorder="1" applyAlignment="1" applyProtection="1">
      <alignment horizontal="center" vertical="center" wrapText="1"/>
      <protection/>
    </xf>
    <xf numFmtId="49" fontId="4" fillId="33" borderId="19" xfId="0" applyNumberFormat="1" applyFont="1" applyFill="1" applyBorder="1" applyAlignment="1">
      <alignment horizontal="center" vertical="center" wrapText="1"/>
    </xf>
    <xf numFmtId="49" fontId="4" fillId="33" borderId="25" xfId="0" applyNumberFormat="1" applyFont="1" applyFill="1" applyBorder="1" applyAlignment="1">
      <alignment horizontal="center" vertical="center" wrapText="1"/>
    </xf>
    <xf numFmtId="49" fontId="4" fillId="33" borderId="24" xfId="0" applyNumberFormat="1" applyFont="1" applyFill="1" applyBorder="1" applyAlignment="1">
      <alignment horizontal="center" vertical="center" wrapText="1"/>
    </xf>
    <xf numFmtId="49" fontId="4" fillId="33" borderId="11" xfId="0" applyNumberFormat="1" applyFont="1" applyFill="1" applyBorder="1" applyAlignment="1" applyProtection="1">
      <alignment horizontal="center" vertical="center" wrapText="1"/>
      <protection/>
    </xf>
    <xf numFmtId="49" fontId="4" fillId="33" borderId="13" xfId="0" applyNumberFormat="1" applyFont="1" applyFill="1" applyBorder="1" applyAlignment="1">
      <alignment horizontal="center" vertical="center" wrapText="1"/>
    </xf>
    <xf numFmtId="0" fontId="3" fillId="33" borderId="0" xfId="0" applyFont="1" applyFill="1" applyBorder="1" applyAlignment="1">
      <alignment horizontal="left" wrapText="1"/>
    </xf>
    <xf numFmtId="49" fontId="4"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5" fillId="33" borderId="0" xfId="0" applyNumberFormat="1" applyFont="1" applyFill="1" applyAlignment="1">
      <alignment horizontal="center"/>
    </xf>
    <xf numFmtId="49" fontId="5" fillId="33" borderId="0" xfId="0" applyNumberFormat="1" applyFont="1" applyFill="1" applyAlignment="1">
      <alignment horizontal="center" wrapText="1"/>
    </xf>
    <xf numFmtId="49" fontId="4" fillId="33" borderId="0" xfId="0" applyNumberFormat="1" applyFont="1" applyFill="1" applyAlignment="1">
      <alignment horizontal="center"/>
    </xf>
    <xf numFmtId="49" fontId="4" fillId="33" borderId="18" xfId="0" applyNumberFormat="1" applyFont="1" applyFill="1" applyBorder="1" applyAlignment="1">
      <alignment horizontal="center" vertical="center" wrapText="1"/>
    </xf>
    <xf numFmtId="49" fontId="4" fillId="33" borderId="20" xfId="0" applyNumberFormat="1" applyFont="1" applyFill="1" applyBorder="1" applyAlignment="1">
      <alignment horizontal="center" vertical="center" wrapText="1"/>
    </xf>
    <xf numFmtId="49" fontId="4" fillId="33" borderId="23" xfId="0" applyNumberFormat="1" applyFont="1" applyFill="1" applyBorder="1" applyAlignment="1">
      <alignment horizontal="center" vertical="center" wrapText="1"/>
    </xf>
    <xf numFmtId="1" fontId="5" fillId="33" borderId="15" xfId="0" applyNumberFormat="1" applyFont="1" applyFill="1" applyBorder="1" applyAlignment="1">
      <alignment horizontal="center" vertical="center"/>
    </xf>
    <xf numFmtId="1" fontId="5" fillId="33" borderId="22" xfId="0" applyNumberFormat="1" applyFont="1" applyFill="1" applyBorder="1" applyAlignment="1">
      <alignment horizontal="center" vertical="center"/>
    </xf>
    <xf numFmtId="1" fontId="5" fillId="33" borderId="16" xfId="0" applyNumberFormat="1" applyFont="1" applyFill="1" applyBorder="1" applyAlignment="1">
      <alignment horizontal="center" vertical="center"/>
    </xf>
    <xf numFmtId="49" fontId="4" fillId="33" borderId="15" xfId="0" applyNumberFormat="1" applyFont="1" applyFill="1" applyBorder="1" applyAlignment="1" applyProtection="1">
      <alignment horizontal="center" vertical="center" wrapText="1"/>
      <protection/>
    </xf>
    <xf numFmtId="49" fontId="4" fillId="33" borderId="22" xfId="0" applyNumberFormat="1" applyFont="1" applyFill="1" applyBorder="1" applyAlignment="1" applyProtection="1">
      <alignment horizontal="center" vertical="center" wrapText="1"/>
      <protection/>
    </xf>
    <xf numFmtId="49" fontId="4" fillId="33" borderId="16" xfId="0" applyNumberFormat="1" applyFont="1" applyFill="1" applyBorder="1" applyAlignment="1" applyProtection="1">
      <alignment horizontal="center" vertical="center" wrapText="1"/>
      <protection/>
    </xf>
    <xf numFmtId="0" fontId="4" fillId="33" borderId="0" xfId="61" applyFont="1" applyFill="1" applyBorder="1" applyAlignment="1">
      <alignment horizontal="center"/>
      <protection/>
    </xf>
    <xf numFmtId="0" fontId="21" fillId="33" borderId="0" xfId="61" applyFont="1" applyFill="1" applyAlignment="1">
      <alignment horizontal="center"/>
      <protection/>
    </xf>
    <xf numFmtId="49" fontId="2" fillId="35" borderId="15" xfId="0" applyNumberFormat="1" applyFont="1" applyFill="1" applyBorder="1" applyAlignment="1" applyProtection="1">
      <alignment horizontal="center" vertical="center" wrapText="1"/>
      <protection/>
    </xf>
    <xf numFmtId="49" fontId="2" fillId="35" borderId="16" xfId="0" applyNumberFormat="1" applyFont="1" applyFill="1" applyBorder="1" applyAlignment="1" applyProtection="1">
      <alignment horizontal="center" vertical="center" wrapText="1"/>
      <protection/>
    </xf>
    <xf numFmtId="0" fontId="6" fillId="33" borderId="18" xfId="0" applyNumberFormat="1" applyFont="1" applyFill="1" applyBorder="1" applyAlignment="1">
      <alignment horizontal="center" vertical="center" wrapText="1"/>
    </xf>
    <xf numFmtId="0" fontId="6" fillId="33" borderId="1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21" xfId="0" applyNumberFormat="1" applyFont="1" applyFill="1" applyBorder="1" applyAlignment="1">
      <alignment horizontal="center" vertical="center" wrapText="1"/>
    </xf>
    <xf numFmtId="0" fontId="6" fillId="33" borderId="25" xfId="0" applyNumberFormat="1" applyFont="1" applyFill="1" applyBorder="1" applyAlignment="1">
      <alignment horizontal="center" vertical="center" wrapText="1"/>
    </xf>
    <xf numFmtId="0" fontId="6" fillId="33" borderId="24" xfId="0" applyNumberFormat="1" applyFont="1" applyFill="1" applyBorder="1" applyAlignment="1">
      <alignment horizontal="center" vertical="center" wrapText="1"/>
    </xf>
    <xf numFmtId="0" fontId="13" fillId="33" borderId="0" xfId="61" applyNumberFormat="1" applyFont="1" applyFill="1" applyBorder="1" applyAlignment="1">
      <alignment horizontal="center"/>
      <protection/>
    </xf>
    <xf numFmtId="49" fontId="27" fillId="33" borderId="11" xfId="0" applyNumberFormat="1" applyFont="1" applyFill="1" applyBorder="1" applyAlignment="1" applyProtection="1">
      <alignment horizontal="center" vertical="center" wrapText="1"/>
      <protection/>
    </xf>
    <xf numFmtId="49" fontId="27" fillId="33" borderId="13" xfId="0" applyNumberFormat="1" applyFont="1" applyFill="1" applyBorder="1" applyAlignment="1">
      <alignment horizontal="center" vertical="center" wrapText="1"/>
    </xf>
    <xf numFmtId="0" fontId="21" fillId="33" borderId="0" xfId="61" applyFont="1" applyFill="1" applyBorder="1" applyAlignment="1">
      <alignment horizontal="center"/>
      <protection/>
    </xf>
    <xf numFmtId="193" fontId="20" fillId="33" borderId="11" xfId="0" applyNumberFormat="1" applyFont="1" applyFill="1" applyBorder="1" applyAlignment="1" applyProtection="1">
      <alignment horizontal="center" vertical="center" wrapText="1"/>
      <protection/>
    </xf>
    <xf numFmtId="193" fontId="20" fillId="33" borderId="23" xfId="0" applyNumberFormat="1" applyFont="1" applyFill="1" applyBorder="1" applyAlignment="1">
      <alignment horizontal="center" vertical="center" wrapText="1"/>
    </xf>
    <xf numFmtId="193" fontId="20" fillId="33" borderId="13" xfId="0" applyNumberFormat="1" applyFont="1" applyFill="1" applyBorder="1" applyAlignment="1">
      <alignment horizontal="center" vertical="center" wrapText="1"/>
    </xf>
    <xf numFmtId="49" fontId="4" fillId="33" borderId="17" xfId="0" applyNumberFormat="1" applyFont="1" applyFill="1" applyBorder="1" applyAlignment="1" applyProtection="1">
      <alignment horizontal="center" vertical="center" wrapText="1"/>
      <protection/>
    </xf>
    <xf numFmtId="49" fontId="4" fillId="33" borderId="19"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12" fillId="33" borderId="0" xfId="61" applyNumberFormat="1" applyFont="1" applyFill="1" applyBorder="1" applyAlignment="1">
      <alignment horizontal="center" wrapText="1"/>
      <protection/>
    </xf>
    <xf numFmtId="0" fontId="12" fillId="33" borderId="0" xfId="61" applyNumberFormat="1" applyFont="1" applyFill="1" applyBorder="1" applyAlignment="1">
      <alignment horizontal="center"/>
      <protection/>
    </xf>
    <xf numFmtId="49" fontId="5" fillId="33" borderId="15" xfId="0" applyNumberFormat="1" applyFont="1" applyFill="1" applyBorder="1" applyAlignment="1" applyProtection="1">
      <alignment horizontal="center" vertical="center" wrapText="1"/>
      <protection/>
    </xf>
    <xf numFmtId="49" fontId="5" fillId="33" borderId="16" xfId="0" applyNumberFormat="1" applyFont="1" applyFill="1" applyBorder="1" applyAlignment="1" applyProtection="1">
      <alignment horizontal="center" vertical="center" wrapText="1"/>
      <protection/>
    </xf>
    <xf numFmtId="49" fontId="5" fillId="33" borderId="22"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0" fontId="12" fillId="33" borderId="0" xfId="61" applyFont="1" applyFill="1" applyBorder="1" applyAlignment="1">
      <alignment horizontal="center" wrapText="1"/>
      <protection/>
    </xf>
    <xf numFmtId="0" fontId="13" fillId="33" borderId="0" xfId="61" applyFont="1" applyFill="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_1. (Goc) THONG KE TT01 Toàn tỉnh Hoa Binh 6 tháng 2013" xfId="60"/>
    <cellStyle name="Normal_Bieu mau TK tu 11 den 19 (ban phat hanh)" xfId="61"/>
    <cellStyle name="Normal_Sheet1" xfId="62"/>
    <cellStyle name="Note" xfId="63"/>
    <cellStyle name="Output" xfId="64"/>
    <cellStyle name="Percent" xfId="65"/>
    <cellStyle name="Percent 2" xfId="66"/>
    <cellStyle name="Title" xfId="67"/>
    <cellStyle name="Total" xfId="68"/>
    <cellStyle name="Warning Text" xfId="69"/>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2763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2763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2763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478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478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202" t="s">
        <v>14</v>
      </c>
      <c r="B1" s="202"/>
      <c r="C1" s="206" t="s">
        <v>46</v>
      </c>
      <c r="D1" s="206"/>
      <c r="E1" s="206"/>
      <c r="F1" s="203" t="s">
        <v>42</v>
      </c>
      <c r="G1" s="203"/>
      <c r="H1" s="203"/>
    </row>
    <row r="2" spans="1:8" ht="33.75" customHeight="1">
      <c r="A2" s="204" t="s">
        <v>49</v>
      </c>
      <c r="B2" s="204"/>
      <c r="C2" s="206"/>
      <c r="D2" s="206"/>
      <c r="E2" s="206"/>
      <c r="F2" s="205" t="s">
        <v>43</v>
      </c>
      <c r="G2" s="205"/>
      <c r="H2" s="205"/>
    </row>
    <row r="3" spans="1:8" ht="19.5" customHeight="1">
      <c r="A3" s="4" t="s">
        <v>37</v>
      </c>
      <c r="B3" s="4"/>
      <c r="C3" s="22"/>
      <c r="D3" s="22"/>
      <c r="E3" s="22"/>
      <c r="F3" s="205" t="s">
        <v>44</v>
      </c>
      <c r="G3" s="205"/>
      <c r="H3" s="205"/>
    </row>
    <row r="4" spans="1:8" s="5" customFormat="1" ht="19.5" customHeight="1">
      <c r="A4" s="4"/>
      <c r="B4" s="4"/>
      <c r="D4" s="6"/>
      <c r="F4" s="7" t="s">
        <v>45</v>
      </c>
      <c r="G4" s="7"/>
      <c r="H4" s="7"/>
    </row>
    <row r="5" spans="1:8" s="21" customFormat="1" ht="36" customHeight="1">
      <c r="A5" s="184" t="s">
        <v>33</v>
      </c>
      <c r="B5" s="185"/>
      <c r="C5" s="188" t="s">
        <v>40</v>
      </c>
      <c r="D5" s="189"/>
      <c r="E5" s="190" t="s">
        <v>39</v>
      </c>
      <c r="F5" s="190"/>
      <c r="G5" s="190"/>
      <c r="H5" s="191"/>
    </row>
    <row r="6" spans="1:8" s="21" customFormat="1" ht="20.25" customHeight="1">
      <c r="A6" s="186"/>
      <c r="B6" s="187"/>
      <c r="C6" s="192" t="s">
        <v>2</v>
      </c>
      <c r="D6" s="192" t="s">
        <v>47</v>
      </c>
      <c r="E6" s="194" t="s">
        <v>41</v>
      </c>
      <c r="F6" s="191"/>
      <c r="G6" s="194" t="s">
        <v>48</v>
      </c>
      <c r="H6" s="191"/>
    </row>
    <row r="7" spans="1:8" s="21" customFormat="1" ht="52.5" customHeight="1">
      <c r="A7" s="186"/>
      <c r="B7" s="187"/>
      <c r="C7" s="193"/>
      <c r="D7" s="193"/>
      <c r="E7" s="3" t="s">
        <v>2</v>
      </c>
      <c r="F7" s="3" t="s">
        <v>7</v>
      </c>
      <c r="G7" s="3" t="s">
        <v>2</v>
      </c>
      <c r="H7" s="3" t="s">
        <v>7</v>
      </c>
    </row>
    <row r="8" spans="1:8" ht="15" customHeight="1">
      <c r="A8" s="196" t="s">
        <v>4</v>
      </c>
      <c r="B8" s="197"/>
      <c r="C8" s="8">
        <v>1</v>
      </c>
      <c r="D8" s="8" t="s">
        <v>25</v>
      </c>
      <c r="E8" s="8" t="s">
        <v>27</v>
      </c>
      <c r="F8" s="8" t="s">
        <v>34</v>
      </c>
      <c r="G8" s="8" t="s">
        <v>35</v>
      </c>
      <c r="H8" s="8" t="s">
        <v>36</v>
      </c>
    </row>
    <row r="9" spans="1:8" ht="26.25" customHeight="1">
      <c r="A9" s="198" t="s">
        <v>19</v>
      </c>
      <c r="B9" s="199"/>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24</v>
      </c>
      <c r="B12" s="2" t="s">
        <v>10</v>
      </c>
      <c r="C12" s="2"/>
      <c r="D12" s="11"/>
      <c r="E12" s="11"/>
      <c r="F12" s="11"/>
      <c r="G12" s="11"/>
      <c r="H12" s="11"/>
    </row>
    <row r="13" spans="1:8" ht="24.75" customHeight="1">
      <c r="A13" s="14" t="s">
        <v>25</v>
      </c>
      <c r="B13" s="2" t="s">
        <v>10</v>
      </c>
      <c r="C13" s="2"/>
      <c r="D13" s="11"/>
      <c r="E13" s="11"/>
      <c r="F13" s="11"/>
      <c r="G13" s="11"/>
      <c r="H13" s="11"/>
    </row>
    <row r="14" spans="1:8" ht="24.75" customHeight="1">
      <c r="A14" s="14" t="s">
        <v>27</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200" t="s">
        <v>32</v>
      </c>
      <c r="C16" s="200"/>
      <c r="D16" s="24"/>
      <c r="E16" s="181" t="s">
        <v>12</v>
      </c>
      <c r="F16" s="181"/>
      <c r="G16" s="181"/>
      <c r="H16" s="181"/>
    </row>
    <row r="17" spans="2:8" ht="15.75" customHeight="1">
      <c r="B17" s="200"/>
      <c r="C17" s="200"/>
      <c r="D17" s="24"/>
      <c r="E17" s="182" t="s">
        <v>21</v>
      </c>
      <c r="F17" s="182"/>
      <c r="G17" s="182"/>
      <c r="H17" s="182"/>
    </row>
    <row r="18" spans="2:8" s="25" customFormat="1" ht="15.75" customHeight="1">
      <c r="B18" s="200"/>
      <c r="C18" s="200"/>
      <c r="D18" s="26"/>
      <c r="E18" s="183" t="s">
        <v>31</v>
      </c>
      <c r="F18" s="183"/>
      <c r="G18" s="183"/>
      <c r="H18" s="183"/>
    </row>
    <row r="20" ht="15.75">
      <c r="B20" s="17"/>
    </row>
    <row r="22" ht="15.75" hidden="1">
      <c r="A22" s="18" t="s">
        <v>22</v>
      </c>
    </row>
    <row r="23" spans="1:3" ht="15.75" hidden="1">
      <c r="A23" s="19"/>
      <c r="B23" s="201" t="s">
        <v>28</v>
      </c>
      <c r="C23" s="201"/>
    </row>
    <row r="24" spans="1:8" ht="15.75" customHeight="1" hidden="1">
      <c r="A24" s="20" t="s">
        <v>13</v>
      </c>
      <c r="B24" s="195" t="s">
        <v>29</v>
      </c>
      <c r="C24" s="195"/>
      <c r="D24" s="20"/>
      <c r="E24" s="20"/>
      <c r="F24" s="20"/>
      <c r="G24" s="20"/>
      <c r="H24" s="20"/>
    </row>
    <row r="25" spans="1:8" ht="15" customHeight="1" hidden="1">
      <c r="A25" s="20"/>
      <c r="B25" s="195" t="s">
        <v>30</v>
      </c>
      <c r="C25" s="195"/>
      <c r="D25" s="195"/>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Z125"/>
  <sheetViews>
    <sheetView zoomScale="90" zoomScaleNormal="90" zoomScalePageLayoutView="0" workbookViewId="0" topLeftCell="A1">
      <selection activeCell="V13" sqref="V13"/>
    </sheetView>
  </sheetViews>
  <sheetFormatPr defaultColWidth="6.875" defaultRowHeight="15.75"/>
  <cols>
    <col min="1" max="1" width="3.875" style="68" customWidth="1"/>
    <col min="2" max="2" width="12.875" style="68" customWidth="1"/>
    <col min="3" max="3" width="10.00390625" style="32" customWidth="1"/>
    <col min="4" max="4" width="9.50390625" style="32" customWidth="1"/>
    <col min="5" max="5" width="9.50390625" style="30" customWidth="1"/>
    <col min="6" max="6" width="6.875" style="30" customWidth="1"/>
    <col min="7" max="7" width="8.375" style="30" customWidth="1"/>
    <col min="8" max="8" width="9.00390625" style="32" customWidth="1"/>
    <col min="9" max="9" width="10.25390625" style="32" customWidth="1"/>
    <col min="10" max="10" width="8.75390625" style="30" customWidth="1"/>
    <col min="11" max="11" width="8.625" style="30" customWidth="1"/>
    <col min="12" max="12" width="6.875" style="30" customWidth="1"/>
    <col min="13" max="13" width="9.625" style="30" customWidth="1"/>
    <col min="14" max="14" width="6.875" style="30" customWidth="1"/>
    <col min="15" max="15" width="8.00390625" style="30" customWidth="1"/>
    <col min="16" max="17" width="6.875" style="30" customWidth="1"/>
    <col min="18" max="18" width="9.25390625" style="30" customWidth="1"/>
    <col min="19" max="19" width="9.625" style="30" customWidth="1"/>
    <col min="20" max="20" width="6.875" style="30" customWidth="1"/>
    <col min="21" max="21" width="6.875" style="77" customWidth="1"/>
    <col min="22" max="22" width="7.625" style="30" bestFit="1" customWidth="1"/>
    <col min="23" max="16384" width="6.875" style="30" customWidth="1"/>
  </cols>
  <sheetData>
    <row r="1" spans="1:21" ht="20.25" customHeight="1">
      <c r="A1" s="68" t="s">
        <v>16</v>
      </c>
      <c r="C1" s="60"/>
      <c r="E1" s="237" t="s">
        <v>76</v>
      </c>
      <c r="F1" s="237"/>
      <c r="G1" s="237"/>
      <c r="H1" s="237"/>
      <c r="I1" s="237"/>
      <c r="J1" s="237"/>
      <c r="K1" s="237"/>
      <c r="L1" s="237"/>
      <c r="M1" s="237"/>
      <c r="N1" s="237"/>
      <c r="O1" s="237"/>
      <c r="P1" s="237"/>
      <c r="Q1" s="207" t="s">
        <v>167</v>
      </c>
      <c r="R1" s="207"/>
      <c r="S1" s="207"/>
      <c r="T1" s="207"/>
      <c r="U1" s="69"/>
    </row>
    <row r="2" spans="1:21" ht="17.25" customHeight="1">
      <c r="A2" s="207" t="s">
        <v>79</v>
      </c>
      <c r="B2" s="207"/>
      <c r="C2" s="207"/>
      <c r="D2" s="207"/>
      <c r="E2" s="238" t="s">
        <v>20</v>
      </c>
      <c r="F2" s="238"/>
      <c r="G2" s="238"/>
      <c r="H2" s="238"/>
      <c r="I2" s="238"/>
      <c r="J2" s="238"/>
      <c r="K2" s="238"/>
      <c r="L2" s="238"/>
      <c r="M2" s="238"/>
      <c r="N2" s="238"/>
      <c r="O2" s="238"/>
      <c r="P2" s="238"/>
      <c r="Q2" s="207" t="s">
        <v>163</v>
      </c>
      <c r="R2" s="207"/>
      <c r="S2" s="207"/>
      <c r="T2" s="207"/>
      <c r="U2" s="70"/>
    </row>
    <row r="3" spans="1:21" ht="14.25" customHeight="1">
      <c r="A3" s="207" t="s">
        <v>80</v>
      </c>
      <c r="B3" s="207"/>
      <c r="C3" s="207"/>
      <c r="D3" s="207"/>
      <c r="E3" s="243" t="s">
        <v>269</v>
      </c>
      <c r="F3" s="243"/>
      <c r="G3" s="243"/>
      <c r="H3" s="243"/>
      <c r="I3" s="243"/>
      <c r="J3" s="243"/>
      <c r="K3" s="243"/>
      <c r="L3" s="243"/>
      <c r="M3" s="243"/>
      <c r="N3" s="243"/>
      <c r="O3" s="243"/>
      <c r="P3" s="243"/>
      <c r="Q3" s="207" t="s">
        <v>168</v>
      </c>
      <c r="R3" s="207"/>
      <c r="S3" s="207"/>
      <c r="T3" s="207"/>
      <c r="U3" s="72"/>
    </row>
    <row r="4" spans="1:21" ht="14.25" customHeight="1">
      <c r="A4" s="68" t="s">
        <v>66</v>
      </c>
      <c r="C4" s="60"/>
      <c r="D4" s="60"/>
      <c r="E4" s="73"/>
      <c r="F4" s="73"/>
      <c r="G4" s="73"/>
      <c r="H4" s="60"/>
      <c r="I4" s="60"/>
      <c r="J4" s="73"/>
      <c r="K4" s="73"/>
      <c r="L4" s="73"/>
      <c r="M4" s="73"/>
      <c r="N4" s="73"/>
      <c r="O4" s="71"/>
      <c r="P4" s="71"/>
      <c r="Q4" s="207" t="s">
        <v>165</v>
      </c>
      <c r="R4" s="207"/>
      <c r="S4" s="207"/>
      <c r="T4" s="207"/>
      <c r="U4" s="70"/>
    </row>
    <row r="5" spans="2:21" ht="15" customHeight="1">
      <c r="B5" s="74"/>
      <c r="C5" s="75"/>
      <c r="Q5" s="76"/>
      <c r="R5" s="242" t="s">
        <v>6</v>
      </c>
      <c r="S5" s="242"/>
      <c r="T5" s="242"/>
      <c r="U5" s="69"/>
    </row>
    <row r="6" spans="1:20" ht="22.5" customHeight="1">
      <c r="A6" s="225" t="s">
        <v>33</v>
      </c>
      <c r="B6" s="226"/>
      <c r="C6" s="222" t="s">
        <v>67</v>
      </c>
      <c r="D6" s="223"/>
      <c r="E6" s="224"/>
      <c r="F6" s="234" t="s">
        <v>51</v>
      </c>
      <c r="G6" s="220" t="s">
        <v>68</v>
      </c>
      <c r="H6" s="239" t="s">
        <v>52</v>
      </c>
      <c r="I6" s="240"/>
      <c r="J6" s="240"/>
      <c r="K6" s="240"/>
      <c r="L6" s="240"/>
      <c r="M6" s="240"/>
      <c r="N6" s="240"/>
      <c r="O6" s="240"/>
      <c r="P6" s="240"/>
      <c r="Q6" s="240"/>
      <c r="R6" s="241"/>
      <c r="S6" s="232" t="s">
        <v>175</v>
      </c>
      <c r="T6" s="232" t="s">
        <v>77</v>
      </c>
    </row>
    <row r="7" spans="1:26" s="79" customFormat="1" ht="16.5" customHeight="1">
      <c r="A7" s="227"/>
      <c r="B7" s="228"/>
      <c r="C7" s="231" t="s">
        <v>23</v>
      </c>
      <c r="D7" s="211" t="s">
        <v>5</v>
      </c>
      <c r="E7" s="208"/>
      <c r="F7" s="235"/>
      <c r="G7" s="233"/>
      <c r="H7" s="214" t="s">
        <v>18</v>
      </c>
      <c r="I7" s="211" t="s">
        <v>53</v>
      </c>
      <c r="J7" s="212"/>
      <c r="K7" s="212"/>
      <c r="L7" s="212"/>
      <c r="M7" s="212"/>
      <c r="N7" s="212"/>
      <c r="O7" s="212"/>
      <c r="P7" s="212"/>
      <c r="Q7" s="213"/>
      <c r="R7" s="208" t="s">
        <v>70</v>
      </c>
      <c r="S7" s="233"/>
      <c r="T7" s="233"/>
      <c r="U7" s="72"/>
      <c r="V7" s="78"/>
      <c r="W7" s="78"/>
      <c r="X7" s="78"/>
      <c r="Y7" s="78"/>
      <c r="Z7" s="78"/>
    </row>
    <row r="8" spans="1:20" ht="15.75" customHeight="1">
      <c r="A8" s="227"/>
      <c r="B8" s="228"/>
      <c r="C8" s="215"/>
      <c r="D8" s="236"/>
      <c r="E8" s="210"/>
      <c r="F8" s="235"/>
      <c r="G8" s="233"/>
      <c r="H8" s="215"/>
      <c r="I8" s="214" t="s">
        <v>18</v>
      </c>
      <c r="J8" s="217" t="s">
        <v>5</v>
      </c>
      <c r="K8" s="218"/>
      <c r="L8" s="218"/>
      <c r="M8" s="218"/>
      <c r="N8" s="218"/>
      <c r="O8" s="218"/>
      <c r="P8" s="218"/>
      <c r="Q8" s="219"/>
      <c r="R8" s="209"/>
      <c r="S8" s="233"/>
      <c r="T8" s="233"/>
    </row>
    <row r="9" spans="1:20" ht="15.75" customHeight="1">
      <c r="A9" s="227"/>
      <c r="B9" s="228"/>
      <c r="C9" s="215"/>
      <c r="D9" s="231" t="s">
        <v>71</v>
      </c>
      <c r="E9" s="232" t="s">
        <v>72</v>
      </c>
      <c r="F9" s="235"/>
      <c r="G9" s="233"/>
      <c r="H9" s="215"/>
      <c r="I9" s="215"/>
      <c r="J9" s="219" t="s">
        <v>73</v>
      </c>
      <c r="K9" s="246" t="s">
        <v>74</v>
      </c>
      <c r="L9" s="232" t="s">
        <v>65</v>
      </c>
      <c r="M9" s="248" t="s">
        <v>55</v>
      </c>
      <c r="N9" s="220" t="s">
        <v>75</v>
      </c>
      <c r="O9" s="220" t="s">
        <v>57</v>
      </c>
      <c r="P9" s="220" t="s">
        <v>176</v>
      </c>
      <c r="Q9" s="220" t="s">
        <v>60</v>
      </c>
      <c r="R9" s="209"/>
      <c r="S9" s="233"/>
      <c r="T9" s="233"/>
    </row>
    <row r="10" spans="1:20" ht="67.5" customHeight="1">
      <c r="A10" s="229"/>
      <c r="B10" s="230"/>
      <c r="C10" s="216"/>
      <c r="D10" s="216"/>
      <c r="E10" s="221"/>
      <c r="F10" s="236"/>
      <c r="G10" s="221"/>
      <c r="H10" s="216"/>
      <c r="I10" s="216"/>
      <c r="J10" s="219"/>
      <c r="K10" s="246"/>
      <c r="L10" s="247"/>
      <c r="M10" s="248"/>
      <c r="N10" s="221"/>
      <c r="O10" s="221" t="s">
        <v>57</v>
      </c>
      <c r="P10" s="221" t="s">
        <v>176</v>
      </c>
      <c r="Q10" s="221" t="s">
        <v>60</v>
      </c>
      <c r="R10" s="210"/>
      <c r="S10" s="221"/>
      <c r="T10" s="221"/>
    </row>
    <row r="11" spans="1:20" ht="11.25" customHeight="1">
      <c r="A11" s="249" t="s">
        <v>4</v>
      </c>
      <c r="B11" s="250"/>
      <c r="C11" s="61">
        <v>1</v>
      </c>
      <c r="D11" s="61">
        <v>2</v>
      </c>
      <c r="E11" s="62">
        <v>3</v>
      </c>
      <c r="F11" s="62">
        <v>4</v>
      </c>
      <c r="G11" s="62">
        <v>5</v>
      </c>
      <c r="H11" s="61">
        <v>6</v>
      </c>
      <c r="I11" s="61">
        <v>7</v>
      </c>
      <c r="J11" s="62">
        <v>8</v>
      </c>
      <c r="K11" s="62">
        <v>9</v>
      </c>
      <c r="L11" s="62">
        <v>10</v>
      </c>
      <c r="M11" s="62">
        <v>11</v>
      </c>
      <c r="N11" s="62">
        <v>12</v>
      </c>
      <c r="O11" s="62">
        <v>13</v>
      </c>
      <c r="P11" s="62">
        <v>14</v>
      </c>
      <c r="Q11" s="62">
        <v>15</v>
      </c>
      <c r="R11" s="62">
        <v>16</v>
      </c>
      <c r="S11" s="62">
        <v>17</v>
      </c>
      <c r="T11" s="62">
        <v>18</v>
      </c>
    </row>
    <row r="12" spans="1:22" s="83" customFormat="1" ht="15.75" customHeight="1">
      <c r="A12" s="244" t="s">
        <v>17</v>
      </c>
      <c r="B12" s="245"/>
      <c r="C12" s="80">
        <f>C13+C31</f>
        <v>3594984914</v>
      </c>
      <c r="D12" s="80">
        <f>D13+D31</f>
        <v>3394635352</v>
      </c>
      <c r="E12" s="80">
        <f aca="true" t="shared" si="0" ref="E12:S12">E13+E31</f>
        <v>200349562</v>
      </c>
      <c r="F12" s="80">
        <f t="shared" si="0"/>
        <v>1305888</v>
      </c>
      <c r="G12" s="80">
        <f t="shared" si="0"/>
        <v>13759014</v>
      </c>
      <c r="H12" s="80">
        <f t="shared" si="0"/>
        <v>3593679026</v>
      </c>
      <c r="I12" s="80">
        <f t="shared" si="0"/>
        <v>2153354422</v>
      </c>
      <c r="J12" s="80">
        <f t="shared" si="0"/>
        <v>58435652</v>
      </c>
      <c r="K12" s="80">
        <f t="shared" si="0"/>
        <v>16913283</v>
      </c>
      <c r="L12" s="80">
        <f t="shared" si="0"/>
        <v>4300</v>
      </c>
      <c r="M12" s="80">
        <f t="shared" si="0"/>
        <v>2036704416</v>
      </c>
      <c r="N12" s="80">
        <f t="shared" si="0"/>
        <v>8462475</v>
      </c>
      <c r="O12" s="80">
        <f t="shared" si="0"/>
        <v>26813179</v>
      </c>
      <c r="P12" s="80">
        <f t="shared" si="0"/>
        <v>0</v>
      </c>
      <c r="Q12" s="80">
        <f t="shared" si="0"/>
        <v>6021117</v>
      </c>
      <c r="R12" s="80">
        <f t="shared" si="0"/>
        <v>1440324604</v>
      </c>
      <c r="S12" s="80">
        <f t="shared" si="0"/>
        <v>3518325791</v>
      </c>
      <c r="T12" s="81">
        <f>(J12+K12+L12)/I12*100</f>
        <v>3.49934196758995</v>
      </c>
      <c r="U12" s="82">
        <f aca="true" t="shared" si="1" ref="U12:U61">C12-F12-H12</f>
        <v>0</v>
      </c>
      <c r="V12" s="96">
        <f>C12-D12-E12</f>
        <v>0</v>
      </c>
    </row>
    <row r="13" spans="1:21" s="86" customFormat="1" ht="15.75" customHeight="1">
      <c r="A13" s="84" t="s">
        <v>0</v>
      </c>
      <c r="B13" s="85" t="s">
        <v>50</v>
      </c>
      <c r="C13" s="80">
        <f>SUM(C14:C30)</f>
        <v>996252115</v>
      </c>
      <c r="D13" s="80">
        <f>SUM(D14:D30)</f>
        <v>979878620</v>
      </c>
      <c r="E13" s="80">
        <f aca="true" t="shared" si="2" ref="E13:S13">SUM(E14:E30)</f>
        <v>16373495</v>
      </c>
      <c r="F13" s="80">
        <f t="shared" si="2"/>
        <v>12859</v>
      </c>
      <c r="G13" s="80">
        <f t="shared" si="2"/>
        <v>0</v>
      </c>
      <c r="H13" s="80">
        <f t="shared" si="2"/>
        <v>996239256</v>
      </c>
      <c r="I13" s="80">
        <f t="shared" si="2"/>
        <v>723843819</v>
      </c>
      <c r="J13" s="80">
        <f t="shared" si="2"/>
        <v>33587130</v>
      </c>
      <c r="K13" s="80">
        <f t="shared" si="2"/>
        <v>0</v>
      </c>
      <c r="L13" s="80">
        <f t="shared" si="2"/>
        <v>0</v>
      </c>
      <c r="M13" s="80">
        <f t="shared" si="2"/>
        <v>667910318</v>
      </c>
      <c r="N13" s="80">
        <f t="shared" si="2"/>
        <v>0</v>
      </c>
      <c r="O13" s="80">
        <f t="shared" si="2"/>
        <v>22346371</v>
      </c>
      <c r="P13" s="80">
        <f t="shared" si="2"/>
        <v>0</v>
      </c>
      <c r="Q13" s="80">
        <f t="shared" si="2"/>
        <v>0</v>
      </c>
      <c r="R13" s="80">
        <f t="shared" si="2"/>
        <v>272395437</v>
      </c>
      <c r="S13" s="80">
        <f t="shared" si="2"/>
        <v>962652126</v>
      </c>
      <c r="T13" s="81">
        <f aca="true" t="shared" si="3" ref="T13:T76">(J13+K13+L13)/I13*100</f>
        <v>4.640107315746796</v>
      </c>
      <c r="U13" s="96">
        <f t="shared" si="1"/>
        <v>0</v>
      </c>
    </row>
    <row r="14" spans="1:21" s="99" customFormat="1" ht="15.75" customHeight="1">
      <c r="A14" s="87" t="s">
        <v>185</v>
      </c>
      <c r="B14" s="87" t="s">
        <v>83</v>
      </c>
      <c r="C14" s="88">
        <f>D14+E14</f>
        <v>5804032</v>
      </c>
      <c r="D14" s="89">
        <v>5804032</v>
      </c>
      <c r="E14" s="88"/>
      <c r="F14" s="88"/>
      <c r="G14" s="88"/>
      <c r="H14" s="88">
        <f>I14+R14</f>
        <v>5804032</v>
      </c>
      <c r="I14" s="88">
        <f>SUM(J14:Q14)</f>
        <v>5804032</v>
      </c>
      <c r="J14" s="88">
        <v>5000</v>
      </c>
      <c r="K14" s="88"/>
      <c r="L14" s="88"/>
      <c r="M14" s="88">
        <f>5804032-5000</f>
        <v>5799032</v>
      </c>
      <c r="N14" s="88"/>
      <c r="O14" s="88"/>
      <c r="P14" s="88"/>
      <c r="Q14" s="88"/>
      <c r="R14" s="88"/>
      <c r="S14" s="95">
        <f aca="true" t="shared" si="4" ref="S14:S77">SUM(M14:R14)</f>
        <v>5799032</v>
      </c>
      <c r="T14" s="81">
        <f t="shared" si="3"/>
        <v>0.08614700952717008</v>
      </c>
      <c r="U14" s="99">
        <f t="shared" si="1"/>
        <v>0</v>
      </c>
    </row>
    <row r="15" spans="1:21" s="99" customFormat="1" ht="15.75" customHeight="1">
      <c r="A15" s="87" t="s">
        <v>26</v>
      </c>
      <c r="B15" s="87" t="s">
        <v>81</v>
      </c>
      <c r="C15" s="88">
        <f aca="true" t="shared" si="5" ref="C15:C30">D15+E15</f>
        <v>5150</v>
      </c>
      <c r="D15" s="89">
        <v>5150</v>
      </c>
      <c r="E15" s="88"/>
      <c r="F15" s="88"/>
      <c r="G15" s="88"/>
      <c r="H15" s="88">
        <f aca="true" t="shared" si="6" ref="H15:H30">I15+R15</f>
        <v>5150</v>
      </c>
      <c r="I15" s="88">
        <f aca="true" t="shared" si="7" ref="I15:I30">SUM(J15:Q15)</f>
        <v>5150</v>
      </c>
      <c r="J15" s="88"/>
      <c r="K15" s="88"/>
      <c r="L15" s="88"/>
      <c r="M15" s="88">
        <v>5150</v>
      </c>
      <c r="N15" s="88"/>
      <c r="O15" s="88"/>
      <c r="P15" s="88"/>
      <c r="Q15" s="88"/>
      <c r="R15" s="88"/>
      <c r="S15" s="95">
        <f t="shared" si="4"/>
        <v>5150</v>
      </c>
      <c r="T15" s="81">
        <f t="shared" si="3"/>
        <v>0</v>
      </c>
      <c r="U15" s="99">
        <f t="shared" si="1"/>
        <v>0</v>
      </c>
    </row>
    <row r="16" spans="1:21" s="99" customFormat="1" ht="15.75" customHeight="1">
      <c r="A16" s="87" t="s">
        <v>54</v>
      </c>
      <c r="B16" s="87" t="s">
        <v>82</v>
      </c>
      <c r="C16" s="88">
        <f>D16+E16</f>
        <v>100</v>
      </c>
      <c r="D16" s="89">
        <v>100</v>
      </c>
      <c r="E16" s="88"/>
      <c r="F16" s="88"/>
      <c r="G16" s="88"/>
      <c r="H16" s="88">
        <f t="shared" si="6"/>
        <v>100</v>
      </c>
      <c r="I16" s="88">
        <f t="shared" si="7"/>
        <v>100</v>
      </c>
      <c r="J16" s="88"/>
      <c r="K16" s="88"/>
      <c r="L16" s="88"/>
      <c r="M16" s="88">
        <v>100</v>
      </c>
      <c r="N16" s="88"/>
      <c r="O16" s="88"/>
      <c r="P16" s="88"/>
      <c r="Q16" s="88"/>
      <c r="R16" s="88"/>
      <c r="S16" s="95">
        <f t="shared" si="4"/>
        <v>100</v>
      </c>
      <c r="T16" s="81">
        <f t="shared" si="3"/>
        <v>0</v>
      </c>
      <c r="U16" s="99">
        <f t="shared" si="1"/>
        <v>0</v>
      </c>
    </row>
    <row r="17" spans="1:21" s="99" customFormat="1" ht="15.75" customHeight="1">
      <c r="A17" s="87" t="s">
        <v>56</v>
      </c>
      <c r="B17" s="87" t="s">
        <v>235</v>
      </c>
      <c r="C17" s="88">
        <f t="shared" si="5"/>
        <v>290609</v>
      </c>
      <c r="D17" s="89">
        <v>290009</v>
      </c>
      <c r="E17" s="88">
        <v>600</v>
      </c>
      <c r="F17" s="88"/>
      <c r="G17" s="88"/>
      <c r="H17" s="88">
        <f t="shared" si="6"/>
        <v>290609</v>
      </c>
      <c r="I17" s="88">
        <f t="shared" si="7"/>
        <v>290609</v>
      </c>
      <c r="J17" s="88">
        <v>600</v>
      </c>
      <c r="K17" s="88"/>
      <c r="L17" s="88"/>
      <c r="M17" s="88">
        <v>290009</v>
      </c>
      <c r="N17" s="88"/>
      <c r="O17" s="88"/>
      <c r="P17" s="88"/>
      <c r="Q17" s="88"/>
      <c r="R17" s="88"/>
      <c r="S17" s="95">
        <f t="shared" si="4"/>
        <v>290009</v>
      </c>
      <c r="T17" s="81">
        <f t="shared" si="3"/>
        <v>0.2064629794672567</v>
      </c>
      <c r="U17" s="99">
        <f t="shared" si="1"/>
        <v>0</v>
      </c>
    </row>
    <row r="18" spans="1:21" s="99" customFormat="1" ht="15.75" customHeight="1">
      <c r="A18" s="87" t="s">
        <v>186</v>
      </c>
      <c r="B18" s="87" t="s">
        <v>84</v>
      </c>
      <c r="C18" s="88">
        <f t="shared" si="5"/>
        <v>3713115</v>
      </c>
      <c r="D18" s="89">
        <v>3713115</v>
      </c>
      <c r="E18" s="88"/>
      <c r="F18" s="88"/>
      <c r="G18" s="88"/>
      <c r="H18" s="88">
        <f t="shared" si="6"/>
        <v>3713115</v>
      </c>
      <c r="I18" s="88">
        <f t="shared" si="7"/>
        <v>3685593</v>
      </c>
      <c r="J18" s="88"/>
      <c r="K18" s="88"/>
      <c r="L18" s="91"/>
      <c r="M18" s="91">
        <v>3685593</v>
      </c>
      <c r="N18" s="90"/>
      <c r="O18" s="90"/>
      <c r="P18" s="90"/>
      <c r="Q18" s="90"/>
      <c r="R18" s="90">
        <v>27522</v>
      </c>
      <c r="S18" s="95">
        <f t="shared" si="4"/>
        <v>3713115</v>
      </c>
      <c r="T18" s="81">
        <f t="shared" si="3"/>
        <v>0</v>
      </c>
      <c r="U18" s="99">
        <f t="shared" si="1"/>
        <v>0</v>
      </c>
    </row>
    <row r="19" spans="1:21" s="99" customFormat="1" ht="15.75" customHeight="1">
      <c r="A19" s="87" t="s">
        <v>58</v>
      </c>
      <c r="B19" s="87" t="s">
        <v>85</v>
      </c>
      <c r="C19" s="88">
        <f t="shared" si="5"/>
        <v>42670781</v>
      </c>
      <c r="D19" s="89">
        <v>42638111</v>
      </c>
      <c r="E19" s="90">
        <v>32670</v>
      </c>
      <c r="F19" s="88"/>
      <c r="G19" s="90"/>
      <c r="H19" s="88">
        <f t="shared" si="6"/>
        <v>42670781</v>
      </c>
      <c r="I19" s="88">
        <f t="shared" si="7"/>
        <v>12616284</v>
      </c>
      <c r="J19" s="90"/>
      <c r="K19" s="90"/>
      <c r="L19" s="90"/>
      <c r="M19" s="90">
        <f>12583614+32670</f>
        <v>12616284</v>
      </c>
      <c r="N19" s="91"/>
      <c r="O19" s="90"/>
      <c r="P19" s="90"/>
      <c r="Q19" s="90"/>
      <c r="R19" s="90">
        <v>30054497</v>
      </c>
      <c r="S19" s="95">
        <f t="shared" si="4"/>
        <v>42670781</v>
      </c>
      <c r="T19" s="81">
        <f t="shared" si="3"/>
        <v>0</v>
      </c>
      <c r="U19" s="99">
        <f t="shared" si="1"/>
        <v>0</v>
      </c>
    </row>
    <row r="20" spans="1:21" s="99" customFormat="1" ht="15.75" customHeight="1">
      <c r="A20" s="87" t="s">
        <v>59</v>
      </c>
      <c r="B20" s="87" t="s">
        <v>86</v>
      </c>
      <c r="C20" s="88">
        <f t="shared" si="5"/>
        <v>24794073</v>
      </c>
      <c r="D20" s="89">
        <v>24794073</v>
      </c>
      <c r="E20" s="90"/>
      <c r="F20" s="88"/>
      <c r="G20" s="90"/>
      <c r="H20" s="88">
        <f t="shared" si="6"/>
        <v>24794073</v>
      </c>
      <c r="I20" s="88">
        <f t="shared" si="7"/>
        <v>24664467</v>
      </c>
      <c r="J20" s="90"/>
      <c r="K20" s="90"/>
      <c r="L20" s="90"/>
      <c r="M20" s="90">
        <v>24664467</v>
      </c>
      <c r="N20" s="91"/>
      <c r="O20" s="90"/>
      <c r="P20" s="90"/>
      <c r="Q20" s="90"/>
      <c r="R20" s="90">
        <v>129606</v>
      </c>
      <c r="S20" s="95">
        <f t="shared" si="4"/>
        <v>24794073</v>
      </c>
      <c r="T20" s="81">
        <f t="shared" si="3"/>
        <v>0</v>
      </c>
      <c r="U20" s="99">
        <f t="shared" si="1"/>
        <v>0</v>
      </c>
    </row>
    <row r="21" spans="1:21" s="99" customFormat="1" ht="15.75" customHeight="1">
      <c r="A21" s="87" t="s">
        <v>64</v>
      </c>
      <c r="B21" s="87" t="s">
        <v>87</v>
      </c>
      <c r="C21" s="88">
        <f t="shared" si="5"/>
        <v>230000</v>
      </c>
      <c r="D21" s="89">
        <v>147000</v>
      </c>
      <c r="E21" s="90">
        <v>83000</v>
      </c>
      <c r="F21" s="88"/>
      <c r="G21" s="90"/>
      <c r="H21" s="88">
        <f t="shared" si="6"/>
        <v>230000</v>
      </c>
      <c r="I21" s="88">
        <f t="shared" si="7"/>
        <v>230000</v>
      </c>
      <c r="J21" s="90"/>
      <c r="K21" s="90"/>
      <c r="L21" s="90"/>
      <c r="M21" s="90">
        <v>230000</v>
      </c>
      <c r="N21" s="91"/>
      <c r="O21" s="90"/>
      <c r="P21" s="90"/>
      <c r="Q21" s="90"/>
      <c r="R21" s="90"/>
      <c r="S21" s="95">
        <f t="shared" si="4"/>
        <v>230000</v>
      </c>
      <c r="T21" s="81">
        <f t="shared" si="3"/>
        <v>0</v>
      </c>
      <c r="U21" s="99">
        <f t="shared" si="1"/>
        <v>0</v>
      </c>
    </row>
    <row r="22" spans="1:21" s="99" customFormat="1" ht="15.75" customHeight="1">
      <c r="A22" s="87" t="s">
        <v>88</v>
      </c>
      <c r="B22" s="87" t="s">
        <v>90</v>
      </c>
      <c r="C22" s="88">
        <f t="shared" si="5"/>
        <v>118354615</v>
      </c>
      <c r="D22" s="89">
        <v>117342215</v>
      </c>
      <c r="E22" s="90">
        <v>1012400</v>
      </c>
      <c r="F22" s="88"/>
      <c r="G22" s="90"/>
      <c r="H22" s="88">
        <f t="shared" si="6"/>
        <v>118354615</v>
      </c>
      <c r="I22" s="88">
        <f t="shared" si="7"/>
        <v>118354615</v>
      </c>
      <c r="J22" s="90">
        <v>6015000</v>
      </c>
      <c r="K22" s="90"/>
      <c r="L22" s="90"/>
      <c r="M22" s="90">
        <v>112339615</v>
      </c>
      <c r="N22" s="91"/>
      <c r="O22" s="90"/>
      <c r="P22" s="90"/>
      <c r="Q22" s="90"/>
      <c r="R22" s="90"/>
      <c r="S22" s="95">
        <f t="shared" si="4"/>
        <v>112339615</v>
      </c>
      <c r="T22" s="81">
        <f t="shared" si="3"/>
        <v>5.082184585704579</v>
      </c>
      <c r="U22" s="99">
        <f t="shared" si="1"/>
        <v>0</v>
      </c>
    </row>
    <row r="23" spans="1:21" s="99" customFormat="1" ht="15.75" customHeight="1">
      <c r="A23" s="87" t="s">
        <v>89</v>
      </c>
      <c r="B23" s="87" t="s">
        <v>92</v>
      </c>
      <c r="C23" s="88">
        <f t="shared" si="5"/>
        <v>44163310</v>
      </c>
      <c r="D23" s="89">
        <v>44163310</v>
      </c>
      <c r="E23" s="90"/>
      <c r="F23" s="88"/>
      <c r="G23" s="90"/>
      <c r="H23" s="88">
        <f t="shared" si="6"/>
        <v>44163310</v>
      </c>
      <c r="I23" s="88">
        <f t="shared" si="7"/>
        <v>44163310</v>
      </c>
      <c r="J23" s="90"/>
      <c r="K23" s="90"/>
      <c r="L23" s="90"/>
      <c r="M23" s="90">
        <v>44163310</v>
      </c>
      <c r="N23" s="91"/>
      <c r="O23" s="90"/>
      <c r="P23" s="90"/>
      <c r="Q23" s="90"/>
      <c r="R23" s="90"/>
      <c r="S23" s="95">
        <f t="shared" si="4"/>
        <v>44163310</v>
      </c>
      <c r="T23" s="81">
        <f t="shared" si="3"/>
        <v>0</v>
      </c>
      <c r="U23" s="99">
        <f t="shared" si="1"/>
        <v>0</v>
      </c>
    </row>
    <row r="24" spans="1:21" s="99" customFormat="1" ht="15.75" customHeight="1">
      <c r="A24" s="87" t="s">
        <v>91</v>
      </c>
      <c r="B24" s="87" t="s">
        <v>236</v>
      </c>
      <c r="C24" s="88">
        <f t="shared" si="5"/>
        <v>17118954</v>
      </c>
      <c r="D24" s="89">
        <v>17088954</v>
      </c>
      <c r="E24" s="90">
        <v>30000</v>
      </c>
      <c r="F24" s="88"/>
      <c r="G24" s="90"/>
      <c r="H24" s="88">
        <f t="shared" si="6"/>
        <v>17118954</v>
      </c>
      <c r="I24" s="88">
        <f t="shared" si="7"/>
        <v>17118954</v>
      </c>
      <c r="J24" s="90">
        <v>797122</v>
      </c>
      <c r="K24" s="90"/>
      <c r="L24" s="90"/>
      <c r="M24" s="90">
        <v>16321832</v>
      </c>
      <c r="N24" s="91"/>
      <c r="O24" s="90"/>
      <c r="P24" s="90"/>
      <c r="Q24" s="90"/>
      <c r="R24" s="90"/>
      <c r="S24" s="95">
        <f t="shared" si="4"/>
        <v>16321832</v>
      </c>
      <c r="T24" s="81">
        <f t="shared" si="3"/>
        <v>4.656370944159322</v>
      </c>
      <c r="U24" s="99">
        <f t="shared" si="1"/>
        <v>0</v>
      </c>
    </row>
    <row r="25" spans="1:21" s="99" customFormat="1" ht="15.75" customHeight="1">
      <c r="A25" s="87" t="s">
        <v>93</v>
      </c>
      <c r="B25" s="87" t="s">
        <v>237</v>
      </c>
      <c r="C25" s="88">
        <f t="shared" si="5"/>
        <v>298224986</v>
      </c>
      <c r="D25" s="90">
        <v>294361538</v>
      </c>
      <c r="E25" s="90">
        <v>3863448</v>
      </c>
      <c r="F25" s="88">
        <v>0</v>
      </c>
      <c r="G25" s="90"/>
      <c r="H25" s="88">
        <f t="shared" si="6"/>
        <v>298224986</v>
      </c>
      <c r="I25" s="88">
        <f t="shared" si="7"/>
        <v>61461720</v>
      </c>
      <c r="J25" s="90">
        <v>26374744</v>
      </c>
      <c r="K25" s="90"/>
      <c r="L25" s="90"/>
      <c r="M25" s="90">
        <v>35086976</v>
      </c>
      <c r="N25" s="91"/>
      <c r="O25" s="90"/>
      <c r="P25" s="90"/>
      <c r="Q25" s="90"/>
      <c r="R25" s="90">
        <v>236763266</v>
      </c>
      <c r="S25" s="95">
        <f t="shared" si="4"/>
        <v>271850242</v>
      </c>
      <c r="T25" s="81">
        <f t="shared" si="3"/>
        <v>42.91247299945397</v>
      </c>
      <c r="U25" s="99">
        <f t="shared" si="1"/>
        <v>0</v>
      </c>
    </row>
    <row r="26" spans="1:21" s="99" customFormat="1" ht="15.75" customHeight="1">
      <c r="A26" s="87" t="s">
        <v>184</v>
      </c>
      <c r="B26" s="87" t="s">
        <v>95</v>
      </c>
      <c r="C26" s="88">
        <f t="shared" si="5"/>
        <v>430890335</v>
      </c>
      <c r="D26" s="89">
        <v>421345804</v>
      </c>
      <c r="E26" s="90">
        <v>9544531</v>
      </c>
      <c r="F26" s="90">
        <v>12859</v>
      </c>
      <c r="G26" s="90"/>
      <c r="H26" s="88">
        <f t="shared" si="6"/>
        <v>430877476</v>
      </c>
      <c r="I26" s="88">
        <f t="shared" si="7"/>
        <v>430657994</v>
      </c>
      <c r="J26" s="90">
        <v>225301</v>
      </c>
      <c r="K26" s="90"/>
      <c r="L26" s="90"/>
      <c r="M26" s="90">
        <v>408086322</v>
      </c>
      <c r="N26" s="91"/>
      <c r="O26" s="90">
        <v>22346371</v>
      </c>
      <c r="P26" s="90"/>
      <c r="Q26" s="90"/>
      <c r="R26" s="90">
        <v>219482</v>
      </c>
      <c r="S26" s="95">
        <f t="shared" si="4"/>
        <v>430652175</v>
      </c>
      <c r="T26" s="81">
        <f t="shared" si="3"/>
        <v>0.052315527202311723</v>
      </c>
      <c r="U26" s="99">
        <f t="shared" si="1"/>
        <v>0</v>
      </c>
    </row>
    <row r="27" spans="1:21" s="99" customFormat="1" ht="15.75" customHeight="1">
      <c r="A27" s="87" t="s">
        <v>94</v>
      </c>
      <c r="B27" s="87" t="s">
        <v>97</v>
      </c>
      <c r="C27" s="88">
        <f t="shared" si="5"/>
        <v>2517346</v>
      </c>
      <c r="D27" s="89">
        <v>2517346</v>
      </c>
      <c r="E27" s="90"/>
      <c r="F27" s="88"/>
      <c r="G27" s="90"/>
      <c r="H27" s="88">
        <f t="shared" si="6"/>
        <v>2517346</v>
      </c>
      <c r="I27" s="88">
        <f t="shared" si="7"/>
        <v>2517346</v>
      </c>
      <c r="J27" s="90"/>
      <c r="K27" s="90"/>
      <c r="L27" s="90"/>
      <c r="M27" s="90">
        <v>2517346</v>
      </c>
      <c r="N27" s="91"/>
      <c r="O27" s="90"/>
      <c r="P27" s="90"/>
      <c r="Q27" s="90"/>
      <c r="R27" s="90"/>
      <c r="S27" s="95">
        <f t="shared" si="4"/>
        <v>2517346</v>
      </c>
      <c r="T27" s="81">
        <f t="shared" si="3"/>
        <v>0</v>
      </c>
      <c r="U27" s="99">
        <f t="shared" si="1"/>
        <v>0</v>
      </c>
    </row>
    <row r="28" spans="1:21" s="99" customFormat="1" ht="15.75" customHeight="1">
      <c r="A28" s="87" t="s">
        <v>238</v>
      </c>
      <c r="B28" s="87" t="s">
        <v>99</v>
      </c>
      <c r="C28" s="88">
        <f t="shared" si="5"/>
        <v>1804817</v>
      </c>
      <c r="D28" s="89">
        <v>421274</v>
      </c>
      <c r="E28" s="88">
        <v>1383543</v>
      </c>
      <c r="F28" s="88"/>
      <c r="G28" s="88"/>
      <c r="H28" s="88">
        <f t="shared" si="6"/>
        <v>1804817</v>
      </c>
      <c r="I28" s="88">
        <f t="shared" si="7"/>
        <v>1779817</v>
      </c>
      <c r="J28" s="88">
        <v>101737</v>
      </c>
      <c r="K28" s="88"/>
      <c r="L28" s="91"/>
      <c r="M28" s="91">
        <v>1678080</v>
      </c>
      <c r="N28" s="91"/>
      <c r="O28" s="90"/>
      <c r="P28" s="90"/>
      <c r="Q28" s="90"/>
      <c r="R28" s="90">
        <v>25000</v>
      </c>
      <c r="S28" s="95">
        <f t="shared" si="4"/>
        <v>1703080</v>
      </c>
      <c r="T28" s="81">
        <f t="shared" si="3"/>
        <v>5.7161494692993715</v>
      </c>
      <c r="U28" s="99">
        <f t="shared" si="1"/>
        <v>0</v>
      </c>
    </row>
    <row r="29" spans="1:21" s="99" customFormat="1" ht="15.75" customHeight="1">
      <c r="A29" s="87" t="s">
        <v>96</v>
      </c>
      <c r="B29" s="87" t="s">
        <v>100</v>
      </c>
      <c r="C29" s="88">
        <f t="shared" si="5"/>
        <v>5339889</v>
      </c>
      <c r="D29" s="88">
        <v>5222389</v>
      </c>
      <c r="E29" s="88">
        <v>117500</v>
      </c>
      <c r="F29" s="88">
        <v>0</v>
      </c>
      <c r="G29" s="88"/>
      <c r="H29" s="88">
        <f t="shared" si="6"/>
        <v>5339889</v>
      </c>
      <c r="I29" s="88">
        <f t="shared" si="7"/>
        <v>163825</v>
      </c>
      <c r="J29" s="88">
        <v>0</v>
      </c>
      <c r="K29" s="88"/>
      <c r="L29" s="91"/>
      <c r="M29" s="91">
        <v>163825</v>
      </c>
      <c r="N29" s="91"/>
      <c r="O29" s="90"/>
      <c r="P29" s="90"/>
      <c r="Q29" s="90"/>
      <c r="R29" s="90">
        <v>5176064</v>
      </c>
      <c r="S29" s="95">
        <f t="shared" si="4"/>
        <v>5339889</v>
      </c>
      <c r="T29" s="81">
        <f t="shared" si="3"/>
        <v>0</v>
      </c>
      <c r="U29" s="99">
        <f t="shared" si="1"/>
        <v>0</v>
      </c>
    </row>
    <row r="30" spans="1:21" s="99" customFormat="1" ht="15.75" customHeight="1">
      <c r="A30" s="87" t="s">
        <v>98</v>
      </c>
      <c r="B30" s="87" t="s">
        <v>239</v>
      </c>
      <c r="C30" s="88">
        <f t="shared" si="5"/>
        <v>330003</v>
      </c>
      <c r="D30" s="92">
        <v>24200</v>
      </c>
      <c r="E30" s="88">
        <v>305803</v>
      </c>
      <c r="F30" s="88">
        <v>0</v>
      </c>
      <c r="G30" s="88"/>
      <c r="H30" s="88">
        <f t="shared" si="6"/>
        <v>330003</v>
      </c>
      <c r="I30" s="88">
        <f t="shared" si="7"/>
        <v>330003</v>
      </c>
      <c r="J30" s="88">
        <v>67626</v>
      </c>
      <c r="K30" s="88">
        <v>0</v>
      </c>
      <c r="L30" s="91"/>
      <c r="M30" s="91">
        <v>262377</v>
      </c>
      <c r="N30" s="91"/>
      <c r="O30" s="90"/>
      <c r="P30" s="90"/>
      <c r="Q30" s="90"/>
      <c r="R30" s="90"/>
      <c r="S30" s="95">
        <f t="shared" si="4"/>
        <v>262377</v>
      </c>
      <c r="T30" s="81">
        <f t="shared" si="3"/>
        <v>20.49254097690021</v>
      </c>
      <c r="U30" s="99">
        <f t="shared" si="1"/>
        <v>0</v>
      </c>
    </row>
    <row r="31" spans="1:21" s="96" customFormat="1" ht="15.75" customHeight="1">
      <c r="A31" s="93" t="s">
        <v>1</v>
      </c>
      <c r="B31" s="93" t="s">
        <v>101</v>
      </c>
      <c r="C31" s="94">
        <f>D31+E31</f>
        <v>2598732799</v>
      </c>
      <c r="D31" s="95">
        <f aca="true" t="shared" si="8" ref="D31:S31">D32+D37+D42+D45+D48+D57+D62+D70+D74+D78+D89+D92+D96+D108+D111</f>
        <v>2414756732</v>
      </c>
      <c r="E31" s="95">
        <f t="shared" si="8"/>
        <v>183976067</v>
      </c>
      <c r="F31" s="95">
        <f t="shared" si="8"/>
        <v>1293029</v>
      </c>
      <c r="G31" s="95">
        <f t="shared" si="8"/>
        <v>13759014</v>
      </c>
      <c r="H31" s="95">
        <f t="shared" si="8"/>
        <v>2597439770</v>
      </c>
      <c r="I31" s="95">
        <f t="shared" si="8"/>
        <v>1429510603</v>
      </c>
      <c r="J31" s="95">
        <f t="shared" si="8"/>
        <v>24848522</v>
      </c>
      <c r="K31" s="95">
        <f t="shared" si="8"/>
        <v>16913283</v>
      </c>
      <c r="L31" s="95">
        <f t="shared" si="8"/>
        <v>4300</v>
      </c>
      <c r="M31" s="95">
        <f t="shared" si="8"/>
        <v>1368794098</v>
      </c>
      <c r="N31" s="95">
        <f t="shared" si="8"/>
        <v>8462475</v>
      </c>
      <c r="O31" s="95">
        <f t="shared" si="8"/>
        <v>4466808</v>
      </c>
      <c r="P31" s="95">
        <f t="shared" si="8"/>
        <v>0</v>
      </c>
      <c r="Q31" s="95">
        <f t="shared" si="8"/>
        <v>6021117</v>
      </c>
      <c r="R31" s="95">
        <f t="shared" si="8"/>
        <v>1167929167</v>
      </c>
      <c r="S31" s="95">
        <f t="shared" si="8"/>
        <v>2555673665</v>
      </c>
      <c r="T31" s="81">
        <f t="shared" si="3"/>
        <v>2.921706555540673</v>
      </c>
      <c r="U31" s="96">
        <f t="shared" si="1"/>
        <v>0</v>
      </c>
    </row>
    <row r="32" spans="1:21" s="96" customFormat="1" ht="15.75" customHeight="1">
      <c r="A32" s="93">
        <v>1</v>
      </c>
      <c r="B32" s="170" t="s">
        <v>102</v>
      </c>
      <c r="C32" s="95">
        <f>SUM(C33:C36)</f>
        <v>238095536</v>
      </c>
      <c r="D32" s="95">
        <f>SUM(D33:D36)</f>
        <v>232981768</v>
      </c>
      <c r="E32" s="95">
        <f aca="true" t="shared" si="9" ref="E32:R32">SUM(E33:E36)</f>
        <v>5113768</v>
      </c>
      <c r="F32" s="95">
        <f t="shared" si="9"/>
        <v>5150</v>
      </c>
      <c r="G32" s="95">
        <f t="shared" si="9"/>
        <v>0</v>
      </c>
      <c r="H32" s="95">
        <f t="shared" si="9"/>
        <v>238090386</v>
      </c>
      <c r="I32" s="95">
        <f t="shared" si="9"/>
        <v>176151768</v>
      </c>
      <c r="J32" s="95">
        <f t="shared" si="9"/>
        <v>354650</v>
      </c>
      <c r="K32" s="95">
        <f t="shared" si="9"/>
        <v>100812</v>
      </c>
      <c r="L32" s="95">
        <f t="shared" si="9"/>
        <v>0</v>
      </c>
      <c r="M32" s="95">
        <f t="shared" si="9"/>
        <v>174996306</v>
      </c>
      <c r="N32" s="95">
        <f t="shared" si="9"/>
        <v>700000</v>
      </c>
      <c r="O32" s="95">
        <f t="shared" si="9"/>
        <v>0</v>
      </c>
      <c r="P32" s="95">
        <f t="shared" si="9"/>
        <v>0</v>
      </c>
      <c r="Q32" s="95">
        <f t="shared" si="9"/>
        <v>0</v>
      </c>
      <c r="R32" s="95">
        <f t="shared" si="9"/>
        <v>61938618</v>
      </c>
      <c r="S32" s="95">
        <f t="shared" si="4"/>
        <v>237634924</v>
      </c>
      <c r="T32" s="81">
        <f t="shared" si="3"/>
        <v>0.25856226433106255</v>
      </c>
      <c r="U32" s="96">
        <f t="shared" si="1"/>
        <v>0</v>
      </c>
    </row>
    <row r="33" spans="1:21" s="99" customFormat="1" ht="15.75" customHeight="1">
      <c r="A33" s="87" t="s">
        <v>185</v>
      </c>
      <c r="B33" s="142" t="s">
        <v>103</v>
      </c>
      <c r="C33" s="138">
        <f>SUM(D33+E33)</f>
        <v>127233328</v>
      </c>
      <c r="D33" s="88">
        <v>127217244</v>
      </c>
      <c r="E33" s="88">
        <v>16084</v>
      </c>
      <c r="F33" s="88">
        <v>0</v>
      </c>
      <c r="G33" s="88">
        <v>0</v>
      </c>
      <c r="H33" s="138">
        <f>SUM(R33+I33)</f>
        <v>127233328</v>
      </c>
      <c r="I33" s="138">
        <f>SUM(Q33+P33+O33+N33+M33+L33+K33+J33)</f>
        <v>126841207</v>
      </c>
      <c r="J33" s="88">
        <v>23554</v>
      </c>
      <c r="K33" s="88">
        <v>13321</v>
      </c>
      <c r="L33" s="88">
        <v>0</v>
      </c>
      <c r="M33" s="88">
        <v>126804332</v>
      </c>
      <c r="N33" s="88">
        <v>0</v>
      </c>
      <c r="O33" s="88">
        <v>0</v>
      </c>
      <c r="P33" s="88">
        <v>0</v>
      </c>
      <c r="Q33" s="88">
        <v>0</v>
      </c>
      <c r="R33" s="88">
        <v>392121</v>
      </c>
      <c r="S33" s="95">
        <f t="shared" si="4"/>
        <v>127196453</v>
      </c>
      <c r="T33" s="81">
        <f t="shared" si="3"/>
        <v>0.0290717826423711</v>
      </c>
      <c r="U33" s="99">
        <f t="shared" si="1"/>
        <v>0</v>
      </c>
    </row>
    <row r="34" spans="1:21" s="99" customFormat="1" ht="15.75" customHeight="1">
      <c r="A34" s="87" t="s">
        <v>26</v>
      </c>
      <c r="B34" s="142" t="s">
        <v>233</v>
      </c>
      <c r="C34" s="138">
        <f>SUM(D34+E34)</f>
        <v>57581108</v>
      </c>
      <c r="D34" s="88">
        <v>54063246</v>
      </c>
      <c r="E34" s="88">
        <v>3517862</v>
      </c>
      <c r="F34" s="88">
        <v>0</v>
      </c>
      <c r="G34" s="88"/>
      <c r="H34" s="138">
        <f>SUM(R34+I34)</f>
        <v>57581108</v>
      </c>
      <c r="I34" s="138">
        <f>SUM(Q34+P34+O34+N34+M34+L34+K34+J34)</f>
        <v>16220066</v>
      </c>
      <c r="J34" s="88">
        <v>172958</v>
      </c>
      <c r="K34" s="88">
        <v>0</v>
      </c>
      <c r="L34" s="88"/>
      <c r="M34" s="88">
        <v>16047108</v>
      </c>
      <c r="N34" s="88">
        <v>0</v>
      </c>
      <c r="O34" s="88"/>
      <c r="P34" s="88"/>
      <c r="Q34" s="88">
        <v>0</v>
      </c>
      <c r="R34" s="88">
        <v>41361042</v>
      </c>
      <c r="S34" s="95">
        <f t="shared" si="4"/>
        <v>57408150</v>
      </c>
      <c r="T34" s="81">
        <f t="shared" si="3"/>
        <v>1.0663211851295797</v>
      </c>
      <c r="U34" s="99">
        <f t="shared" si="1"/>
        <v>0</v>
      </c>
    </row>
    <row r="35" spans="1:21" s="99" customFormat="1" ht="15.75" customHeight="1">
      <c r="A35" s="87" t="s">
        <v>54</v>
      </c>
      <c r="B35" s="142" t="s">
        <v>104</v>
      </c>
      <c r="C35" s="138">
        <f>SUM(D35+E35)</f>
        <v>39702477</v>
      </c>
      <c r="D35" s="88">
        <v>39341858</v>
      </c>
      <c r="E35" s="88">
        <v>360619</v>
      </c>
      <c r="F35" s="88">
        <v>0</v>
      </c>
      <c r="G35" s="88"/>
      <c r="H35" s="138">
        <f>SUM(R35+I35)</f>
        <v>39702477</v>
      </c>
      <c r="I35" s="138">
        <f>SUM(Q35+P35+O35+N35+M35+L35+K35+J35)</f>
        <v>27180632</v>
      </c>
      <c r="J35" s="88">
        <v>141922</v>
      </c>
      <c r="K35" s="88">
        <v>75041</v>
      </c>
      <c r="L35" s="88"/>
      <c r="M35" s="88">
        <v>26263669</v>
      </c>
      <c r="N35" s="88">
        <v>700000</v>
      </c>
      <c r="O35" s="88"/>
      <c r="P35" s="88"/>
      <c r="Q35" s="88"/>
      <c r="R35" s="88">
        <v>12521845</v>
      </c>
      <c r="S35" s="95">
        <f t="shared" si="4"/>
        <v>39485514</v>
      </c>
      <c r="T35" s="81">
        <f t="shared" si="3"/>
        <v>0.7982264724381685</v>
      </c>
      <c r="U35" s="99">
        <f t="shared" si="1"/>
        <v>0</v>
      </c>
    </row>
    <row r="36" spans="1:21" s="99" customFormat="1" ht="15.75" customHeight="1">
      <c r="A36" s="87" t="s">
        <v>56</v>
      </c>
      <c r="B36" s="142" t="s">
        <v>234</v>
      </c>
      <c r="C36" s="138">
        <f>SUM(D36+E36)</f>
        <v>13578623</v>
      </c>
      <c r="D36" s="88">
        <v>12359420</v>
      </c>
      <c r="E36" s="88">
        <v>1219203</v>
      </c>
      <c r="F36" s="88">
        <v>5150</v>
      </c>
      <c r="G36" s="88"/>
      <c r="H36" s="138">
        <f>SUM(R36+I36)</f>
        <v>13573473</v>
      </c>
      <c r="I36" s="138">
        <f>SUM(Q36+P36+O36+N36+M36+L36+K36+J36)</f>
        <v>5909863</v>
      </c>
      <c r="J36" s="88">
        <v>16216</v>
      </c>
      <c r="K36" s="88">
        <v>12450</v>
      </c>
      <c r="L36" s="88"/>
      <c r="M36" s="88">
        <v>5881197</v>
      </c>
      <c r="N36" s="88">
        <v>0</v>
      </c>
      <c r="O36" s="88"/>
      <c r="P36" s="88"/>
      <c r="Q36" s="88"/>
      <c r="R36" s="88">
        <v>7663610</v>
      </c>
      <c r="S36" s="95">
        <f t="shared" si="4"/>
        <v>13544807</v>
      </c>
      <c r="T36" s="81">
        <f t="shared" si="3"/>
        <v>0.4850535452344665</v>
      </c>
      <c r="U36" s="99">
        <f t="shared" si="1"/>
        <v>0</v>
      </c>
    </row>
    <row r="37" spans="1:21" s="96" customFormat="1" ht="15.75" customHeight="1">
      <c r="A37" s="93">
        <v>2</v>
      </c>
      <c r="B37" s="170" t="s">
        <v>105</v>
      </c>
      <c r="C37" s="95">
        <f aca="true" t="shared" si="10" ref="C37:R37">SUM(C38:C41)</f>
        <v>62743123</v>
      </c>
      <c r="D37" s="95">
        <f t="shared" si="10"/>
        <v>62577302</v>
      </c>
      <c r="E37" s="95">
        <f t="shared" si="10"/>
        <v>165821</v>
      </c>
      <c r="F37" s="95">
        <f t="shared" si="10"/>
        <v>5050</v>
      </c>
      <c r="G37" s="95">
        <f t="shared" si="10"/>
        <v>0</v>
      </c>
      <c r="H37" s="95">
        <f t="shared" si="10"/>
        <v>62738073</v>
      </c>
      <c r="I37" s="95">
        <f t="shared" si="10"/>
        <v>57710472</v>
      </c>
      <c r="J37" s="95">
        <f t="shared" si="10"/>
        <v>155889</v>
      </c>
      <c r="K37" s="95">
        <f t="shared" si="10"/>
        <v>3060</v>
      </c>
      <c r="L37" s="95">
        <f t="shared" si="10"/>
        <v>0</v>
      </c>
      <c r="M37" s="95">
        <f t="shared" si="10"/>
        <v>56619999</v>
      </c>
      <c r="N37" s="95">
        <f t="shared" si="10"/>
        <v>0</v>
      </c>
      <c r="O37" s="95">
        <f t="shared" si="10"/>
        <v>0</v>
      </c>
      <c r="P37" s="95">
        <f t="shared" si="10"/>
        <v>0</v>
      </c>
      <c r="Q37" s="95">
        <f t="shared" si="10"/>
        <v>931524</v>
      </c>
      <c r="R37" s="95">
        <f t="shared" si="10"/>
        <v>5027601</v>
      </c>
      <c r="S37" s="95">
        <f t="shared" si="4"/>
        <v>62579124</v>
      </c>
      <c r="T37" s="81">
        <f t="shared" si="3"/>
        <v>0.2754248830264289</v>
      </c>
      <c r="U37" s="96">
        <f t="shared" si="1"/>
        <v>0</v>
      </c>
    </row>
    <row r="38" spans="1:21" s="99" customFormat="1" ht="15.75" customHeight="1">
      <c r="A38" s="87" t="s">
        <v>240</v>
      </c>
      <c r="B38" s="87" t="s">
        <v>204</v>
      </c>
      <c r="C38" s="88">
        <f>D38+E38</f>
        <v>501158</v>
      </c>
      <c r="D38" s="88">
        <v>458358</v>
      </c>
      <c r="E38" s="88">
        <v>42800</v>
      </c>
      <c r="F38" s="88">
        <v>0</v>
      </c>
      <c r="G38" s="88"/>
      <c r="H38" s="88">
        <f>I38+R38</f>
        <v>501158</v>
      </c>
      <c r="I38" s="88">
        <f>J38+K38+L38+M38+N38+O38+P38+Q38</f>
        <v>265577</v>
      </c>
      <c r="J38" s="88">
        <v>49938</v>
      </c>
      <c r="K38" s="88">
        <v>880</v>
      </c>
      <c r="L38" s="88">
        <v>0</v>
      </c>
      <c r="M38" s="88">
        <v>214759</v>
      </c>
      <c r="N38" s="88"/>
      <c r="O38" s="88"/>
      <c r="P38" s="88"/>
      <c r="Q38" s="91"/>
      <c r="R38" s="139">
        <v>235581</v>
      </c>
      <c r="S38" s="95">
        <f t="shared" si="4"/>
        <v>450340</v>
      </c>
      <c r="T38" s="81">
        <f t="shared" si="3"/>
        <v>19.134940149184608</v>
      </c>
      <c r="U38" s="99">
        <f t="shared" si="1"/>
        <v>0</v>
      </c>
    </row>
    <row r="39" spans="1:21" s="99" customFormat="1" ht="15.75" customHeight="1">
      <c r="A39" s="87" t="s">
        <v>241</v>
      </c>
      <c r="B39" s="87" t="s">
        <v>177</v>
      </c>
      <c r="C39" s="88">
        <f>D39+E39</f>
        <v>10868824</v>
      </c>
      <c r="D39" s="88">
        <v>10761213</v>
      </c>
      <c r="E39" s="88">
        <v>107611</v>
      </c>
      <c r="F39" s="88">
        <v>5050</v>
      </c>
      <c r="G39" s="88"/>
      <c r="H39" s="88">
        <f>I39+R39</f>
        <v>10863774</v>
      </c>
      <c r="I39" s="88">
        <f>J39+K39+L39+M39+N39+O39+P39+Q39</f>
        <v>9794191</v>
      </c>
      <c r="J39" s="88">
        <v>59232</v>
      </c>
      <c r="K39" s="88">
        <v>0</v>
      </c>
      <c r="L39" s="88">
        <v>0</v>
      </c>
      <c r="M39" s="88">
        <v>8803435</v>
      </c>
      <c r="N39" s="88"/>
      <c r="O39" s="88"/>
      <c r="P39" s="88"/>
      <c r="Q39" s="91">
        <v>931524</v>
      </c>
      <c r="R39" s="139">
        <v>1069583</v>
      </c>
      <c r="S39" s="95">
        <f t="shared" si="4"/>
        <v>10804542</v>
      </c>
      <c r="T39" s="81">
        <f t="shared" si="3"/>
        <v>0.604766641777764</v>
      </c>
      <c r="U39" s="99">
        <f t="shared" si="1"/>
        <v>0</v>
      </c>
    </row>
    <row r="40" spans="1:21" s="99" customFormat="1" ht="15.75" customHeight="1">
      <c r="A40" s="87" t="s">
        <v>242</v>
      </c>
      <c r="B40" s="87" t="s">
        <v>205</v>
      </c>
      <c r="C40" s="88">
        <f>D40+E40</f>
        <v>51373141</v>
      </c>
      <c r="D40" s="88">
        <v>51357731</v>
      </c>
      <c r="E40" s="88">
        <v>15410</v>
      </c>
      <c r="F40" s="88"/>
      <c r="G40" s="88"/>
      <c r="H40" s="88">
        <f>I40+R40</f>
        <v>51373141</v>
      </c>
      <c r="I40" s="88">
        <f>J40+K40+L40+M40+N40+O40+P40+Q40</f>
        <v>47650704</v>
      </c>
      <c r="J40" s="88">
        <v>46719</v>
      </c>
      <c r="K40" s="88">
        <v>2180</v>
      </c>
      <c r="L40" s="88">
        <v>0</v>
      </c>
      <c r="M40" s="88">
        <v>47601805</v>
      </c>
      <c r="N40" s="88"/>
      <c r="O40" s="88"/>
      <c r="P40" s="88"/>
      <c r="Q40" s="91">
        <v>0</v>
      </c>
      <c r="R40" s="139">
        <v>3722437</v>
      </c>
      <c r="S40" s="95">
        <f t="shared" si="4"/>
        <v>51324242</v>
      </c>
      <c r="T40" s="81">
        <f t="shared" si="3"/>
        <v>0.10261968007859862</v>
      </c>
      <c r="U40" s="99">
        <f t="shared" si="1"/>
        <v>0</v>
      </c>
    </row>
    <row r="41" spans="1:21" s="99" customFormat="1" ht="15.75" customHeight="1">
      <c r="A41" s="87" t="s">
        <v>243</v>
      </c>
      <c r="B41" s="87" t="s">
        <v>106</v>
      </c>
      <c r="C41" s="88">
        <v>0</v>
      </c>
      <c r="D41" s="88">
        <v>0</v>
      </c>
      <c r="E41" s="88">
        <v>0</v>
      </c>
      <c r="F41" s="88">
        <v>0</v>
      </c>
      <c r="G41" s="88"/>
      <c r="H41" s="88">
        <f>I41+R41</f>
        <v>0</v>
      </c>
      <c r="I41" s="88">
        <f>J41+K41+L41+M41+N41+O41+P41+Q41</f>
        <v>0</v>
      </c>
      <c r="J41" s="88">
        <v>0</v>
      </c>
      <c r="K41" s="88">
        <v>0</v>
      </c>
      <c r="L41" s="88"/>
      <c r="M41" s="88">
        <v>0</v>
      </c>
      <c r="N41" s="88"/>
      <c r="O41" s="88"/>
      <c r="P41" s="88"/>
      <c r="Q41" s="91"/>
      <c r="R41" s="139">
        <v>0</v>
      </c>
      <c r="S41" s="95">
        <f t="shared" si="4"/>
        <v>0</v>
      </c>
      <c r="T41" s="81" t="e">
        <f t="shared" si="3"/>
        <v>#DIV/0!</v>
      </c>
      <c r="U41" s="99">
        <f t="shared" si="1"/>
        <v>0</v>
      </c>
    </row>
    <row r="42" spans="1:21" s="96" customFormat="1" ht="15.75" customHeight="1">
      <c r="A42" s="93">
        <v>3</v>
      </c>
      <c r="B42" s="170" t="s">
        <v>107</v>
      </c>
      <c r="C42" s="94">
        <f>C43+C44</f>
        <v>31496201</v>
      </c>
      <c r="D42" s="94">
        <f aca="true" t="shared" si="11" ref="D42:R42">D43+D44</f>
        <v>30730101</v>
      </c>
      <c r="E42" s="94">
        <f t="shared" si="11"/>
        <v>766100</v>
      </c>
      <c r="F42" s="94">
        <f t="shared" si="11"/>
        <v>0</v>
      </c>
      <c r="G42" s="94">
        <f t="shared" si="11"/>
        <v>0</v>
      </c>
      <c r="H42" s="94">
        <f t="shared" si="11"/>
        <v>31496201</v>
      </c>
      <c r="I42" s="94">
        <f t="shared" si="11"/>
        <v>29790774</v>
      </c>
      <c r="J42" s="94">
        <f t="shared" si="11"/>
        <v>492420</v>
      </c>
      <c r="K42" s="94">
        <f t="shared" si="11"/>
        <v>9651181</v>
      </c>
      <c r="L42" s="94">
        <f t="shared" si="11"/>
        <v>0</v>
      </c>
      <c r="M42" s="94">
        <f t="shared" si="11"/>
        <v>19574061</v>
      </c>
      <c r="N42" s="94">
        <f t="shared" si="11"/>
        <v>0</v>
      </c>
      <c r="O42" s="94">
        <f t="shared" si="11"/>
        <v>0</v>
      </c>
      <c r="P42" s="94">
        <f t="shared" si="11"/>
        <v>0</v>
      </c>
      <c r="Q42" s="94">
        <f t="shared" si="11"/>
        <v>73112</v>
      </c>
      <c r="R42" s="94">
        <f t="shared" si="11"/>
        <v>1705427</v>
      </c>
      <c r="S42" s="95">
        <f t="shared" si="4"/>
        <v>21352600</v>
      </c>
      <c r="T42" s="81">
        <f t="shared" si="3"/>
        <v>34.049471155062975</v>
      </c>
      <c r="U42" s="96">
        <f t="shared" si="1"/>
        <v>0</v>
      </c>
    </row>
    <row r="43" spans="1:21" s="99" customFormat="1" ht="15.75" customHeight="1">
      <c r="A43" s="87" t="s">
        <v>244</v>
      </c>
      <c r="B43" s="87" t="s">
        <v>109</v>
      </c>
      <c r="C43" s="143">
        <f>D43+E43</f>
        <v>23236599</v>
      </c>
      <c r="D43" s="143">
        <v>22511435</v>
      </c>
      <c r="E43" s="143">
        <v>725164</v>
      </c>
      <c r="F43" s="143"/>
      <c r="G43" s="143"/>
      <c r="H43" s="143">
        <f>I43+R43</f>
        <v>23236599</v>
      </c>
      <c r="I43" s="143">
        <f>J43+K43+L43+M43+N43+O43+P43+Q43</f>
        <v>22964431</v>
      </c>
      <c r="J43" s="143">
        <v>38420</v>
      </c>
      <c r="K43" s="143">
        <v>9651181</v>
      </c>
      <c r="L43" s="143"/>
      <c r="M43" s="143">
        <v>13201718</v>
      </c>
      <c r="N43" s="143"/>
      <c r="O43" s="143">
        <v>0</v>
      </c>
      <c r="P43" s="143"/>
      <c r="Q43" s="143">
        <v>73112</v>
      </c>
      <c r="R43" s="144">
        <v>272168</v>
      </c>
      <c r="S43" s="95">
        <f t="shared" si="4"/>
        <v>13546998</v>
      </c>
      <c r="T43" s="81">
        <f t="shared" si="3"/>
        <v>42.19395202955388</v>
      </c>
      <c r="U43" s="99">
        <f t="shared" si="1"/>
        <v>0</v>
      </c>
    </row>
    <row r="44" spans="1:21" s="99" customFormat="1" ht="15.75" customHeight="1">
      <c r="A44" s="87" t="s">
        <v>245</v>
      </c>
      <c r="B44" s="87" t="s">
        <v>174</v>
      </c>
      <c r="C44" s="143">
        <f>D44+E44</f>
        <v>8259602</v>
      </c>
      <c r="D44" s="143">
        <v>8218666</v>
      </c>
      <c r="E44" s="143">
        <v>40936</v>
      </c>
      <c r="F44" s="143">
        <v>0</v>
      </c>
      <c r="G44" s="143"/>
      <c r="H44" s="143">
        <f>I44+R44</f>
        <v>8259602</v>
      </c>
      <c r="I44" s="143">
        <f>J44+K44+L44+M44+N44+O44+P44+Q44</f>
        <v>6826343</v>
      </c>
      <c r="J44" s="143">
        <v>454000</v>
      </c>
      <c r="K44" s="143">
        <v>0</v>
      </c>
      <c r="L44" s="143"/>
      <c r="M44" s="143">
        <v>6372343</v>
      </c>
      <c r="N44" s="143"/>
      <c r="O44" s="143"/>
      <c r="P44" s="143"/>
      <c r="Q44" s="143"/>
      <c r="R44" s="144">
        <f>1411456+21803</f>
        <v>1433259</v>
      </c>
      <c r="S44" s="95">
        <f t="shared" si="4"/>
        <v>7805602</v>
      </c>
      <c r="T44" s="81">
        <f t="shared" si="3"/>
        <v>6.650705948997874</v>
      </c>
      <c r="U44" s="99">
        <f t="shared" si="1"/>
        <v>0</v>
      </c>
    </row>
    <row r="45" spans="1:21" s="96" customFormat="1" ht="15.75" customHeight="1">
      <c r="A45" s="93">
        <v>4</v>
      </c>
      <c r="B45" s="170" t="s">
        <v>110</v>
      </c>
      <c r="C45" s="94">
        <f>D45+E45</f>
        <v>0</v>
      </c>
      <c r="D45" s="95">
        <f aca="true" t="shared" si="12" ref="D45:R45">D46+D47</f>
        <v>0</v>
      </c>
      <c r="E45" s="95">
        <f t="shared" si="12"/>
        <v>0</v>
      </c>
      <c r="F45" s="95">
        <f t="shared" si="12"/>
        <v>0</v>
      </c>
      <c r="G45" s="95">
        <f t="shared" si="12"/>
        <v>0</v>
      </c>
      <c r="H45" s="95">
        <f t="shared" si="12"/>
        <v>0</v>
      </c>
      <c r="I45" s="95">
        <f t="shared" si="12"/>
        <v>0</v>
      </c>
      <c r="J45" s="95">
        <f t="shared" si="12"/>
        <v>0</v>
      </c>
      <c r="K45" s="95">
        <f t="shared" si="12"/>
        <v>0</v>
      </c>
      <c r="L45" s="95">
        <f t="shared" si="12"/>
        <v>0</v>
      </c>
      <c r="M45" s="95">
        <f t="shared" si="12"/>
        <v>0</v>
      </c>
      <c r="N45" s="95">
        <f t="shared" si="12"/>
        <v>0</v>
      </c>
      <c r="O45" s="95">
        <f t="shared" si="12"/>
        <v>0</v>
      </c>
      <c r="P45" s="95">
        <f t="shared" si="12"/>
        <v>0</v>
      </c>
      <c r="Q45" s="95">
        <f t="shared" si="12"/>
        <v>0</v>
      </c>
      <c r="R45" s="95">
        <f t="shared" si="12"/>
        <v>0</v>
      </c>
      <c r="S45" s="95">
        <f t="shared" si="4"/>
        <v>0</v>
      </c>
      <c r="T45" s="81" t="e">
        <f t="shared" si="3"/>
        <v>#DIV/0!</v>
      </c>
      <c r="U45" s="96">
        <f t="shared" si="1"/>
        <v>0</v>
      </c>
    </row>
    <row r="46" spans="1:21" s="99" customFormat="1" ht="15.75" customHeight="1">
      <c r="A46" s="87" t="s">
        <v>266</v>
      </c>
      <c r="B46" s="141" t="s">
        <v>111</v>
      </c>
      <c r="C46" s="89">
        <f>D46+E46</f>
        <v>0</v>
      </c>
      <c r="D46" s="88"/>
      <c r="E46" s="88"/>
      <c r="F46" s="88"/>
      <c r="G46" s="88"/>
      <c r="H46" s="88">
        <f>I46+R46</f>
        <v>0</v>
      </c>
      <c r="I46" s="88">
        <f>SUM(J46:Q46)</f>
        <v>0</v>
      </c>
      <c r="J46" s="88"/>
      <c r="K46" s="88"/>
      <c r="L46" s="91"/>
      <c r="M46" s="91"/>
      <c r="N46" s="91"/>
      <c r="O46" s="100"/>
      <c r="P46" s="100"/>
      <c r="Q46" s="100"/>
      <c r="R46" s="100"/>
      <c r="S46" s="95">
        <f t="shared" si="4"/>
        <v>0</v>
      </c>
      <c r="T46" s="81" t="e">
        <f t="shared" si="3"/>
        <v>#DIV/0!</v>
      </c>
      <c r="U46" s="99">
        <f t="shared" si="1"/>
        <v>0</v>
      </c>
    </row>
    <row r="47" spans="1:21" s="99" customFormat="1" ht="15.75" customHeight="1">
      <c r="A47" s="87" t="s">
        <v>267</v>
      </c>
      <c r="B47" s="141" t="s">
        <v>108</v>
      </c>
      <c r="C47" s="89">
        <f>D47+E47</f>
        <v>0</v>
      </c>
      <c r="D47" s="88"/>
      <c r="E47" s="88"/>
      <c r="F47" s="88"/>
      <c r="G47" s="88"/>
      <c r="H47" s="88">
        <f>I47+R47</f>
        <v>0</v>
      </c>
      <c r="I47" s="88">
        <f>SUM(J47:Q47)</f>
        <v>0</v>
      </c>
      <c r="J47" s="88"/>
      <c r="K47" s="88"/>
      <c r="L47" s="91"/>
      <c r="M47" s="91"/>
      <c r="N47" s="91"/>
      <c r="O47" s="100"/>
      <c r="P47" s="100"/>
      <c r="Q47" s="100"/>
      <c r="R47" s="100"/>
      <c r="S47" s="95">
        <f t="shared" si="4"/>
        <v>0</v>
      </c>
      <c r="T47" s="81" t="e">
        <f t="shared" si="3"/>
        <v>#DIV/0!</v>
      </c>
      <c r="U47" s="99">
        <f t="shared" si="1"/>
        <v>0</v>
      </c>
    </row>
    <row r="48" spans="1:21" s="96" customFormat="1" ht="15.75" customHeight="1">
      <c r="A48" s="93">
        <v>5</v>
      </c>
      <c r="B48" s="170" t="s">
        <v>112</v>
      </c>
      <c r="C48" s="95">
        <f>SUM(C49:C56)</f>
        <v>454844717</v>
      </c>
      <c r="D48" s="95">
        <f>SUM(D49:D56)</f>
        <v>420361581</v>
      </c>
      <c r="E48" s="95">
        <f aca="true" t="shared" si="13" ref="E48:R48">SUM(E49:E56)</f>
        <v>34483136</v>
      </c>
      <c r="F48" s="95">
        <f t="shared" si="13"/>
        <v>26925</v>
      </c>
      <c r="G48" s="95">
        <f t="shared" si="13"/>
        <v>0</v>
      </c>
      <c r="H48" s="95">
        <f t="shared" si="13"/>
        <v>454817792</v>
      </c>
      <c r="I48" s="95">
        <f t="shared" si="13"/>
        <v>193979906</v>
      </c>
      <c r="J48" s="95">
        <f t="shared" si="13"/>
        <v>4348764</v>
      </c>
      <c r="K48" s="95">
        <f t="shared" si="13"/>
        <v>24000</v>
      </c>
      <c r="L48" s="95">
        <f t="shared" si="13"/>
        <v>0</v>
      </c>
      <c r="M48" s="95">
        <f t="shared" si="13"/>
        <v>186808131</v>
      </c>
      <c r="N48" s="95">
        <f t="shared" si="13"/>
        <v>2266472</v>
      </c>
      <c r="O48" s="95">
        <f t="shared" si="13"/>
        <v>0</v>
      </c>
      <c r="P48" s="95">
        <f t="shared" si="13"/>
        <v>0</v>
      </c>
      <c r="Q48" s="95">
        <f t="shared" si="13"/>
        <v>532539</v>
      </c>
      <c r="R48" s="95">
        <f t="shared" si="13"/>
        <v>260837886</v>
      </c>
      <c r="S48" s="95">
        <f t="shared" si="4"/>
        <v>450445028</v>
      </c>
      <c r="T48" s="81">
        <f t="shared" si="3"/>
        <v>2.2542355495316095</v>
      </c>
      <c r="U48" s="96">
        <f t="shared" si="1"/>
        <v>0</v>
      </c>
    </row>
    <row r="49" spans="1:21" s="99" customFormat="1" ht="15.75" customHeight="1">
      <c r="A49" s="87" t="s">
        <v>61</v>
      </c>
      <c r="B49" s="145" t="s">
        <v>113</v>
      </c>
      <c r="C49" s="146">
        <f>D49+E49</f>
        <v>3468029</v>
      </c>
      <c r="D49" s="147">
        <v>3467529</v>
      </c>
      <c r="E49" s="146">
        <v>500</v>
      </c>
      <c r="F49" s="146">
        <v>0</v>
      </c>
      <c r="G49" s="146">
        <v>0</v>
      </c>
      <c r="H49" s="146">
        <f>I49+R49</f>
        <v>3468029</v>
      </c>
      <c r="I49" s="146">
        <f aca="true" t="shared" si="14" ref="I49:I56">J49+K49+L49+M49+N49+O49+P49+Q49</f>
        <v>3468029</v>
      </c>
      <c r="J49" s="146">
        <v>500</v>
      </c>
      <c r="K49" s="146">
        <v>0</v>
      </c>
      <c r="L49" s="146">
        <v>0</v>
      </c>
      <c r="M49" s="148">
        <v>3467529</v>
      </c>
      <c r="N49" s="146">
        <v>0</v>
      </c>
      <c r="O49" s="146">
        <v>0</v>
      </c>
      <c r="P49" s="146">
        <v>0</v>
      </c>
      <c r="Q49" s="149">
        <v>0</v>
      </c>
      <c r="R49" s="149">
        <f>C49-F49-I49</f>
        <v>0</v>
      </c>
      <c r="S49" s="95">
        <f t="shared" si="4"/>
        <v>3467529</v>
      </c>
      <c r="T49" s="81">
        <f t="shared" si="3"/>
        <v>0.014417411157749834</v>
      </c>
      <c r="U49" s="99">
        <f t="shared" si="1"/>
        <v>0</v>
      </c>
    </row>
    <row r="50" spans="1:21" s="99" customFormat="1" ht="15.75" customHeight="1">
      <c r="A50" s="87" t="s">
        <v>62</v>
      </c>
      <c r="B50" s="145" t="s">
        <v>199</v>
      </c>
      <c r="C50" s="146">
        <f>D50+E50</f>
        <v>289286486</v>
      </c>
      <c r="D50" s="147">
        <v>288298924</v>
      </c>
      <c r="E50" s="146">
        <f>244333+743229</f>
        <v>987562</v>
      </c>
      <c r="F50" s="146">
        <v>0</v>
      </c>
      <c r="G50" s="146">
        <v>0</v>
      </c>
      <c r="H50" s="146">
        <f aca="true" t="shared" si="15" ref="H50:H55">I50+R50</f>
        <v>289286486</v>
      </c>
      <c r="I50" s="146">
        <f t="shared" si="14"/>
        <v>59056420</v>
      </c>
      <c r="J50" s="146">
        <v>12534</v>
      </c>
      <c r="K50" s="146">
        <v>0</v>
      </c>
      <c r="L50" s="146">
        <v>0</v>
      </c>
      <c r="M50" s="148">
        <v>56244875</v>
      </c>
      <c r="N50" s="146">
        <v>2266472</v>
      </c>
      <c r="O50" s="146">
        <v>0</v>
      </c>
      <c r="P50" s="146">
        <v>0</v>
      </c>
      <c r="Q50" s="149">
        <v>532539</v>
      </c>
      <c r="R50" s="149">
        <f aca="true" t="shared" si="16" ref="R50:R56">C50-F50-I50</f>
        <v>230230066</v>
      </c>
      <c r="S50" s="95">
        <f t="shared" si="4"/>
        <v>289273952</v>
      </c>
      <c r="T50" s="81">
        <f t="shared" si="3"/>
        <v>0.021223772114869137</v>
      </c>
      <c r="U50" s="99">
        <f t="shared" si="1"/>
        <v>0</v>
      </c>
    </row>
    <row r="51" spans="1:21" s="99" customFormat="1" ht="15.75" customHeight="1">
      <c r="A51" s="87" t="s">
        <v>63</v>
      </c>
      <c r="B51" s="145" t="s">
        <v>200</v>
      </c>
      <c r="C51" s="146">
        <f aca="true" t="shared" si="17" ref="C51:C56">D51+E51</f>
        <v>40625377</v>
      </c>
      <c r="D51" s="147">
        <v>14045786</v>
      </c>
      <c r="E51" s="146">
        <v>26579591</v>
      </c>
      <c r="F51" s="146">
        <v>9990</v>
      </c>
      <c r="G51" s="146">
        <v>0</v>
      </c>
      <c r="H51" s="146">
        <f t="shared" si="15"/>
        <v>40615387</v>
      </c>
      <c r="I51" s="146">
        <f t="shared" si="14"/>
        <v>39038400</v>
      </c>
      <c r="J51" s="146">
        <v>11270</v>
      </c>
      <c r="K51" s="146">
        <v>0</v>
      </c>
      <c r="L51" s="146">
        <v>0</v>
      </c>
      <c r="M51" s="148">
        <v>39027130</v>
      </c>
      <c r="N51" s="146">
        <v>0</v>
      </c>
      <c r="O51" s="146">
        <v>0</v>
      </c>
      <c r="P51" s="146">
        <v>0</v>
      </c>
      <c r="Q51" s="149">
        <v>0</v>
      </c>
      <c r="R51" s="149">
        <f t="shared" si="16"/>
        <v>1576987</v>
      </c>
      <c r="S51" s="95">
        <f t="shared" si="4"/>
        <v>40604117</v>
      </c>
      <c r="T51" s="81">
        <f t="shared" si="3"/>
        <v>0.02886901102504201</v>
      </c>
      <c r="U51" s="99">
        <f t="shared" si="1"/>
        <v>0</v>
      </c>
    </row>
    <row r="52" spans="1:21" s="99" customFormat="1" ht="15.75" customHeight="1">
      <c r="A52" s="87" t="s">
        <v>114</v>
      </c>
      <c r="B52" s="145" t="s">
        <v>201</v>
      </c>
      <c r="C52" s="146">
        <f t="shared" si="17"/>
        <v>17780186</v>
      </c>
      <c r="D52" s="147">
        <v>16245207</v>
      </c>
      <c r="E52" s="146">
        <v>1534979</v>
      </c>
      <c r="F52" s="146">
        <v>12535</v>
      </c>
      <c r="G52" s="146">
        <v>0</v>
      </c>
      <c r="H52" s="146">
        <f t="shared" si="15"/>
        <v>17767651</v>
      </c>
      <c r="I52" s="146">
        <f t="shared" si="14"/>
        <v>7221835</v>
      </c>
      <c r="J52" s="146">
        <v>4300036</v>
      </c>
      <c r="K52" s="146">
        <v>24000</v>
      </c>
      <c r="L52" s="146">
        <v>0</v>
      </c>
      <c r="M52" s="148">
        <v>2897799</v>
      </c>
      <c r="N52" s="146">
        <v>0</v>
      </c>
      <c r="O52" s="146">
        <v>0</v>
      </c>
      <c r="P52" s="146">
        <v>0</v>
      </c>
      <c r="Q52" s="149">
        <v>0</v>
      </c>
      <c r="R52" s="149">
        <f t="shared" si="16"/>
        <v>10545816</v>
      </c>
      <c r="S52" s="95">
        <f t="shared" si="4"/>
        <v>13443615</v>
      </c>
      <c r="T52" s="81">
        <f t="shared" si="3"/>
        <v>59.87447788546817</v>
      </c>
      <c r="U52" s="99">
        <f t="shared" si="1"/>
        <v>0</v>
      </c>
    </row>
    <row r="53" spans="1:21" s="99" customFormat="1" ht="15.75" customHeight="1">
      <c r="A53" s="87" t="s">
        <v>115</v>
      </c>
      <c r="B53" s="145" t="s">
        <v>116</v>
      </c>
      <c r="C53" s="146">
        <f t="shared" si="17"/>
        <v>38210613</v>
      </c>
      <c r="D53" s="147">
        <v>37827593</v>
      </c>
      <c r="E53" s="146">
        <v>383020</v>
      </c>
      <c r="F53" s="146">
        <v>0</v>
      </c>
      <c r="G53" s="146">
        <v>0</v>
      </c>
      <c r="H53" s="146">
        <f t="shared" si="15"/>
        <v>38210613</v>
      </c>
      <c r="I53" s="146">
        <f>J53+K53+L53+M53+N53+O53+P53+Q53</f>
        <v>34015326</v>
      </c>
      <c r="J53" s="146">
        <v>4500</v>
      </c>
      <c r="K53" s="146">
        <v>0</v>
      </c>
      <c r="L53" s="146">
        <v>0</v>
      </c>
      <c r="M53" s="148">
        <v>34010826</v>
      </c>
      <c r="N53" s="146">
        <v>0</v>
      </c>
      <c r="O53" s="146">
        <v>0</v>
      </c>
      <c r="P53" s="146">
        <v>0</v>
      </c>
      <c r="Q53" s="149">
        <v>0</v>
      </c>
      <c r="R53" s="149">
        <f t="shared" si="16"/>
        <v>4195287</v>
      </c>
      <c r="S53" s="95">
        <f t="shared" si="4"/>
        <v>38206113</v>
      </c>
      <c r="T53" s="81">
        <f t="shared" si="3"/>
        <v>0.013229330802238967</v>
      </c>
      <c r="U53" s="99">
        <f t="shared" si="1"/>
        <v>0</v>
      </c>
    </row>
    <row r="54" spans="1:21" s="99" customFormat="1" ht="15.75" customHeight="1">
      <c r="A54" s="87" t="s">
        <v>117</v>
      </c>
      <c r="B54" s="145" t="s">
        <v>202</v>
      </c>
      <c r="C54" s="146">
        <f t="shared" si="17"/>
        <v>30941299</v>
      </c>
      <c r="D54" s="147">
        <v>26309770</v>
      </c>
      <c r="E54" s="146">
        <v>4631529</v>
      </c>
      <c r="F54" s="146">
        <v>4400</v>
      </c>
      <c r="G54" s="146">
        <v>0</v>
      </c>
      <c r="H54" s="146">
        <f t="shared" si="15"/>
        <v>30936899</v>
      </c>
      <c r="I54" s="146">
        <f t="shared" si="14"/>
        <v>20736767</v>
      </c>
      <c r="J54" s="146">
        <v>10100</v>
      </c>
      <c r="K54" s="146">
        <v>0</v>
      </c>
      <c r="L54" s="146">
        <v>0</v>
      </c>
      <c r="M54" s="148">
        <v>20726667</v>
      </c>
      <c r="N54" s="146">
        <v>0</v>
      </c>
      <c r="O54" s="146">
        <v>0</v>
      </c>
      <c r="P54" s="146">
        <v>0</v>
      </c>
      <c r="Q54" s="149">
        <v>0</v>
      </c>
      <c r="R54" s="149">
        <f t="shared" si="16"/>
        <v>10200132</v>
      </c>
      <c r="S54" s="95">
        <f t="shared" si="4"/>
        <v>30926799</v>
      </c>
      <c r="T54" s="81">
        <f t="shared" si="3"/>
        <v>0.04870576016020241</v>
      </c>
      <c r="U54" s="99">
        <f t="shared" si="1"/>
        <v>0</v>
      </c>
    </row>
    <row r="55" spans="1:21" s="99" customFormat="1" ht="15.75" customHeight="1">
      <c r="A55" s="87" t="s">
        <v>118</v>
      </c>
      <c r="B55" s="145" t="s">
        <v>203</v>
      </c>
      <c r="C55" s="146">
        <f t="shared" si="17"/>
        <v>33211891</v>
      </c>
      <c r="D55" s="147">
        <v>32865571</v>
      </c>
      <c r="E55" s="146">
        <v>346320</v>
      </c>
      <c r="F55" s="146">
        <v>0</v>
      </c>
      <c r="G55" s="146">
        <v>0</v>
      </c>
      <c r="H55" s="146">
        <f t="shared" si="15"/>
        <v>33211891</v>
      </c>
      <c r="I55" s="146">
        <f t="shared" si="14"/>
        <v>30362776</v>
      </c>
      <c r="J55" s="146">
        <v>7690</v>
      </c>
      <c r="K55" s="146">
        <v>0</v>
      </c>
      <c r="L55" s="146">
        <v>0</v>
      </c>
      <c r="M55" s="148">
        <v>30355086</v>
      </c>
      <c r="N55" s="146">
        <v>0</v>
      </c>
      <c r="O55" s="146">
        <v>0</v>
      </c>
      <c r="P55" s="146">
        <v>0</v>
      </c>
      <c r="Q55" s="149">
        <v>0</v>
      </c>
      <c r="R55" s="149">
        <f t="shared" si="16"/>
        <v>2849115</v>
      </c>
      <c r="S55" s="95">
        <f t="shared" si="4"/>
        <v>33204201</v>
      </c>
      <c r="T55" s="81">
        <f t="shared" si="3"/>
        <v>0.025327064956116002</v>
      </c>
      <c r="U55" s="99">
        <f t="shared" si="1"/>
        <v>0</v>
      </c>
    </row>
    <row r="56" spans="1:21" s="99" customFormat="1" ht="15.75" customHeight="1">
      <c r="A56" s="87" t="s">
        <v>119</v>
      </c>
      <c r="B56" s="145" t="s">
        <v>179</v>
      </c>
      <c r="C56" s="146">
        <f t="shared" si="17"/>
        <v>1320836</v>
      </c>
      <c r="D56" s="147">
        <v>1301201</v>
      </c>
      <c r="E56" s="146">
        <v>19635</v>
      </c>
      <c r="F56" s="146">
        <v>0</v>
      </c>
      <c r="G56" s="146">
        <v>0</v>
      </c>
      <c r="H56" s="146">
        <f>I56+R56</f>
        <v>1320836</v>
      </c>
      <c r="I56" s="146">
        <f t="shared" si="14"/>
        <v>80353</v>
      </c>
      <c r="J56" s="146">
        <f>1934+200</f>
        <v>2134</v>
      </c>
      <c r="K56" s="146">
        <v>0</v>
      </c>
      <c r="L56" s="146">
        <v>0</v>
      </c>
      <c r="M56" s="146">
        <v>78219</v>
      </c>
      <c r="N56" s="146">
        <v>0</v>
      </c>
      <c r="O56" s="146">
        <v>0</v>
      </c>
      <c r="P56" s="146">
        <v>0</v>
      </c>
      <c r="Q56" s="149">
        <v>0</v>
      </c>
      <c r="R56" s="149">
        <f t="shared" si="16"/>
        <v>1240483</v>
      </c>
      <c r="S56" s="95">
        <f t="shared" si="4"/>
        <v>1318702</v>
      </c>
      <c r="T56" s="81">
        <f t="shared" si="3"/>
        <v>2.655781364728137</v>
      </c>
      <c r="U56" s="99">
        <f t="shared" si="1"/>
        <v>0</v>
      </c>
    </row>
    <row r="57" spans="1:21" s="96" customFormat="1" ht="15.75" customHeight="1">
      <c r="A57" s="93">
        <v>6</v>
      </c>
      <c r="B57" s="170" t="s">
        <v>120</v>
      </c>
      <c r="C57" s="95">
        <f aca="true" t="shared" si="18" ref="C57:R57">SUM(C58:C61)</f>
        <v>519786803</v>
      </c>
      <c r="D57" s="95">
        <f t="shared" si="18"/>
        <v>496970370</v>
      </c>
      <c r="E57" s="95">
        <f t="shared" si="18"/>
        <v>22816433</v>
      </c>
      <c r="F57" s="95">
        <f t="shared" si="18"/>
        <v>200</v>
      </c>
      <c r="G57" s="95">
        <f t="shared" si="18"/>
        <v>0</v>
      </c>
      <c r="H57" s="95">
        <f t="shared" si="18"/>
        <v>519786603</v>
      </c>
      <c r="I57" s="95">
        <f t="shared" si="18"/>
        <v>56297621</v>
      </c>
      <c r="J57" s="95">
        <f t="shared" si="18"/>
        <v>681217</v>
      </c>
      <c r="K57" s="95">
        <f t="shared" si="18"/>
        <v>0</v>
      </c>
      <c r="L57" s="95">
        <f t="shared" si="18"/>
        <v>4300</v>
      </c>
      <c r="M57" s="95">
        <f t="shared" si="18"/>
        <v>55264151</v>
      </c>
      <c r="N57" s="95">
        <f t="shared" si="18"/>
        <v>347953</v>
      </c>
      <c r="O57" s="95">
        <f t="shared" si="18"/>
        <v>0</v>
      </c>
      <c r="P57" s="95">
        <f t="shared" si="18"/>
        <v>0</v>
      </c>
      <c r="Q57" s="95">
        <f t="shared" si="18"/>
        <v>0</v>
      </c>
      <c r="R57" s="95">
        <f t="shared" si="18"/>
        <v>463488982</v>
      </c>
      <c r="S57" s="95">
        <f t="shared" si="4"/>
        <v>519101086</v>
      </c>
      <c r="T57" s="81">
        <f t="shared" si="3"/>
        <v>1.2176660182496877</v>
      </c>
      <c r="U57" s="96">
        <f t="shared" si="1"/>
        <v>0</v>
      </c>
    </row>
    <row r="58" spans="1:21" s="99" customFormat="1" ht="15.75" customHeight="1">
      <c r="A58" s="87" t="s">
        <v>246</v>
      </c>
      <c r="B58" s="150" t="s">
        <v>209</v>
      </c>
      <c r="C58" s="143">
        <f>D58+E58</f>
        <v>423220247</v>
      </c>
      <c r="D58" s="143">
        <v>402086582</v>
      </c>
      <c r="E58" s="143">
        <v>21133665</v>
      </c>
      <c r="F58" s="143"/>
      <c r="G58" s="143"/>
      <c r="H58" s="143">
        <f>C58-F58-G58</f>
        <v>423220247</v>
      </c>
      <c r="I58" s="143">
        <f>J58+K58+L58+M58+N58+O58+P58+Q58</f>
        <v>33803312</v>
      </c>
      <c r="J58" s="150">
        <v>318300</v>
      </c>
      <c r="K58" s="143"/>
      <c r="L58" s="143"/>
      <c r="M58" s="143">
        <v>33485012</v>
      </c>
      <c r="N58" s="151"/>
      <c r="O58" s="151"/>
      <c r="P58" s="151"/>
      <c r="Q58" s="151"/>
      <c r="R58" s="152">
        <v>389416935</v>
      </c>
      <c r="S58" s="95">
        <f t="shared" si="4"/>
        <v>422901947</v>
      </c>
      <c r="T58" s="81">
        <f t="shared" si="3"/>
        <v>0.9416237083514184</v>
      </c>
      <c r="U58" s="99">
        <f t="shared" si="1"/>
        <v>0</v>
      </c>
    </row>
    <row r="59" spans="1:21" s="99" customFormat="1" ht="15.75" customHeight="1">
      <c r="A59" s="87" t="s">
        <v>247</v>
      </c>
      <c r="B59" s="150" t="s">
        <v>210</v>
      </c>
      <c r="C59" s="143">
        <f>D59+E59</f>
        <v>4070934</v>
      </c>
      <c r="D59" s="143">
        <v>4038042</v>
      </c>
      <c r="E59" s="143">
        <v>32892</v>
      </c>
      <c r="F59" s="143"/>
      <c r="G59" s="143"/>
      <c r="H59" s="143">
        <f>I59+R59</f>
        <v>4070934</v>
      </c>
      <c r="I59" s="143">
        <f>J59+K59+L59+M59+N59+O59+P59+Q59</f>
        <v>3027511</v>
      </c>
      <c r="J59" s="143">
        <v>28768</v>
      </c>
      <c r="K59" s="143"/>
      <c r="L59" s="143"/>
      <c r="M59" s="143">
        <v>2998743</v>
      </c>
      <c r="N59" s="151">
        <v>0</v>
      </c>
      <c r="O59" s="151"/>
      <c r="P59" s="151"/>
      <c r="Q59" s="151"/>
      <c r="R59" s="151">
        <v>1043423</v>
      </c>
      <c r="S59" s="95">
        <f t="shared" si="4"/>
        <v>4042166</v>
      </c>
      <c r="T59" s="81">
        <f t="shared" si="3"/>
        <v>0.9502195037441649</v>
      </c>
      <c r="U59" s="99">
        <f t="shared" si="1"/>
        <v>0</v>
      </c>
    </row>
    <row r="60" spans="1:21" s="99" customFormat="1" ht="15.75" customHeight="1">
      <c r="A60" s="87" t="s">
        <v>248</v>
      </c>
      <c r="B60" s="150" t="s">
        <v>121</v>
      </c>
      <c r="C60" s="143">
        <f>D60+E60</f>
        <v>80803168</v>
      </c>
      <c r="D60" s="143">
        <v>80040445</v>
      </c>
      <c r="E60" s="143">
        <v>762723</v>
      </c>
      <c r="F60" s="143">
        <v>200</v>
      </c>
      <c r="G60" s="143"/>
      <c r="H60" s="143">
        <f>I60+R60</f>
        <v>80802968</v>
      </c>
      <c r="I60" s="143">
        <f>J60+K60+L60+M60+N60+O60+P60+Q60</f>
        <v>9653607</v>
      </c>
      <c r="J60" s="143">
        <v>243256</v>
      </c>
      <c r="K60" s="143"/>
      <c r="L60" s="143"/>
      <c r="M60" s="143">
        <v>9282400</v>
      </c>
      <c r="N60" s="151">
        <v>127951</v>
      </c>
      <c r="O60" s="151"/>
      <c r="P60" s="151"/>
      <c r="Q60" s="151"/>
      <c r="R60" s="151">
        <v>71149361</v>
      </c>
      <c r="S60" s="95">
        <f t="shared" si="4"/>
        <v>80559712</v>
      </c>
      <c r="T60" s="81">
        <f t="shared" si="3"/>
        <v>2.519845690838668</v>
      </c>
      <c r="U60" s="99">
        <f t="shared" si="1"/>
        <v>0</v>
      </c>
    </row>
    <row r="61" spans="1:21" s="99" customFormat="1" ht="15.75" customHeight="1">
      <c r="A61" s="87" t="s">
        <v>249</v>
      </c>
      <c r="B61" s="150" t="s">
        <v>178</v>
      </c>
      <c r="C61" s="143">
        <f>D61+E61</f>
        <v>11692454</v>
      </c>
      <c r="D61" s="143">
        <v>10805301</v>
      </c>
      <c r="E61" s="143">
        <v>887153</v>
      </c>
      <c r="F61" s="143"/>
      <c r="G61" s="143"/>
      <c r="H61" s="143">
        <f>I61+R61</f>
        <v>11692454</v>
      </c>
      <c r="I61" s="143">
        <f>J61+K61+L61+M61+N61+O61+P61+Q61</f>
        <v>9813191</v>
      </c>
      <c r="J61" s="143">
        <v>90893</v>
      </c>
      <c r="K61" s="143"/>
      <c r="L61" s="143">
        <v>4300</v>
      </c>
      <c r="M61" s="143">
        <v>9497996</v>
      </c>
      <c r="N61" s="151">
        <v>220002</v>
      </c>
      <c r="O61" s="151"/>
      <c r="P61" s="151"/>
      <c r="Q61" s="151"/>
      <c r="R61" s="151">
        <v>1879263</v>
      </c>
      <c r="S61" s="95">
        <f t="shared" si="4"/>
        <v>11597261</v>
      </c>
      <c r="T61" s="81">
        <f t="shared" si="3"/>
        <v>0.9700514338302393</v>
      </c>
      <c r="U61" s="99">
        <f t="shared" si="1"/>
        <v>0</v>
      </c>
    </row>
    <row r="62" spans="1:22" s="96" customFormat="1" ht="15.75" customHeight="1">
      <c r="A62" s="93">
        <v>7</v>
      </c>
      <c r="B62" s="170" t="s">
        <v>122</v>
      </c>
      <c r="C62" s="95">
        <f aca="true" t="shared" si="19" ref="C62:R62">SUM(C63:C69)</f>
        <v>277542608</v>
      </c>
      <c r="D62" s="95">
        <f t="shared" si="19"/>
        <v>275533507</v>
      </c>
      <c r="E62" s="95">
        <f t="shared" si="19"/>
        <v>2009101</v>
      </c>
      <c r="F62" s="95">
        <f t="shared" si="19"/>
        <v>515363</v>
      </c>
      <c r="G62" s="95">
        <f t="shared" si="19"/>
        <v>9220570</v>
      </c>
      <c r="H62" s="95">
        <f t="shared" si="19"/>
        <v>277027245</v>
      </c>
      <c r="I62" s="95">
        <f t="shared" si="19"/>
        <v>207935836</v>
      </c>
      <c r="J62" s="95">
        <f t="shared" si="19"/>
        <v>7314985</v>
      </c>
      <c r="K62" s="95">
        <f t="shared" si="19"/>
        <v>211593</v>
      </c>
      <c r="L62" s="95">
        <f t="shared" si="19"/>
        <v>0</v>
      </c>
      <c r="M62" s="95">
        <f t="shared" si="19"/>
        <v>195943058</v>
      </c>
      <c r="N62" s="95">
        <f t="shared" si="19"/>
        <v>0</v>
      </c>
      <c r="O62" s="95">
        <f t="shared" si="19"/>
        <v>4466200</v>
      </c>
      <c r="P62" s="95">
        <f t="shared" si="19"/>
        <v>0</v>
      </c>
      <c r="Q62" s="95">
        <f t="shared" si="19"/>
        <v>0</v>
      </c>
      <c r="R62" s="95">
        <f t="shared" si="19"/>
        <v>69091409</v>
      </c>
      <c r="S62" s="95">
        <f t="shared" si="4"/>
        <v>269500667</v>
      </c>
      <c r="T62" s="81">
        <f t="shared" si="3"/>
        <v>3.6196637120308592</v>
      </c>
      <c r="U62" s="96">
        <f>C62-F62-H62</f>
        <v>0</v>
      </c>
      <c r="V62" s="96">
        <f>D62-284754077</f>
        <v>-9220570</v>
      </c>
    </row>
    <row r="63" spans="1:21" s="99" customFormat="1" ht="15.75" customHeight="1">
      <c r="A63" s="87" t="s">
        <v>226</v>
      </c>
      <c r="B63" s="87" t="s">
        <v>221</v>
      </c>
      <c r="C63" s="89">
        <v>53307661</v>
      </c>
      <c r="D63" s="89">
        <v>53125765</v>
      </c>
      <c r="E63" s="89">
        <v>181896</v>
      </c>
      <c r="F63" s="89"/>
      <c r="G63" s="89"/>
      <c r="H63" s="89">
        <v>53307661</v>
      </c>
      <c r="I63" s="89">
        <v>46758670</v>
      </c>
      <c r="J63" s="89">
        <v>600</v>
      </c>
      <c r="K63" s="89">
        <v>180000</v>
      </c>
      <c r="L63" s="89"/>
      <c r="M63" s="89">
        <v>46578070</v>
      </c>
      <c r="N63" s="89"/>
      <c r="O63" s="89"/>
      <c r="P63" s="89"/>
      <c r="Q63" s="153"/>
      <c r="R63" s="154">
        <v>6548991</v>
      </c>
      <c r="S63" s="95">
        <f t="shared" si="4"/>
        <v>53127061</v>
      </c>
      <c r="T63" s="81">
        <f t="shared" si="3"/>
        <v>0.3862385307366527</v>
      </c>
      <c r="U63" s="99">
        <f aca="true" t="shared" si="20" ref="U63:U76">C63-F63-H63</f>
        <v>0</v>
      </c>
    </row>
    <row r="64" spans="1:22" s="99" customFormat="1" ht="15.75" customHeight="1">
      <c r="A64" s="87" t="s">
        <v>227</v>
      </c>
      <c r="B64" s="87" t="s">
        <v>222</v>
      </c>
      <c r="C64" s="89">
        <v>52397761</v>
      </c>
      <c r="D64" s="89">
        <v>52322180</v>
      </c>
      <c r="E64" s="89">
        <v>75581</v>
      </c>
      <c r="F64" s="89">
        <v>200</v>
      </c>
      <c r="G64" s="89"/>
      <c r="H64" s="89">
        <v>52397561</v>
      </c>
      <c r="I64" s="89">
        <v>51215294</v>
      </c>
      <c r="J64" s="89">
        <v>250</v>
      </c>
      <c r="K64" s="89">
        <v>11775</v>
      </c>
      <c r="L64" s="89"/>
      <c r="M64" s="89">
        <v>46737069</v>
      </c>
      <c r="N64" s="89"/>
      <c r="O64" s="89">
        <v>4466200</v>
      </c>
      <c r="P64" s="89"/>
      <c r="Q64" s="153">
        <v>0</v>
      </c>
      <c r="R64" s="154">
        <v>1182267</v>
      </c>
      <c r="S64" s="95">
        <f t="shared" si="4"/>
        <v>52385536</v>
      </c>
      <c r="T64" s="81">
        <f t="shared" si="3"/>
        <v>0.023479314596924896</v>
      </c>
      <c r="U64" s="99">
        <f t="shared" si="20"/>
        <v>0</v>
      </c>
      <c r="V64" s="99">
        <f>V62+V96+1</f>
        <v>-13759012</v>
      </c>
    </row>
    <row r="65" spans="1:21" s="99" customFormat="1" ht="15.75" customHeight="1">
      <c r="A65" s="87" t="s">
        <v>228</v>
      </c>
      <c r="B65" s="87" t="s">
        <v>223</v>
      </c>
      <c r="C65" s="89">
        <v>19501923</v>
      </c>
      <c r="D65" s="89">
        <v>18366844</v>
      </c>
      <c r="E65" s="89">
        <v>1135079</v>
      </c>
      <c r="F65" s="89">
        <v>42904</v>
      </c>
      <c r="G65" s="89"/>
      <c r="H65" s="89">
        <v>19459019</v>
      </c>
      <c r="I65" s="89">
        <v>16446798</v>
      </c>
      <c r="J65" s="89">
        <v>820935</v>
      </c>
      <c r="K65" s="89">
        <v>7887</v>
      </c>
      <c r="L65" s="89"/>
      <c r="M65" s="89">
        <v>15617976</v>
      </c>
      <c r="N65" s="89"/>
      <c r="O65" s="89"/>
      <c r="P65" s="89"/>
      <c r="Q65" s="153">
        <v>0</v>
      </c>
      <c r="R65" s="154">
        <v>3012221</v>
      </c>
      <c r="S65" s="95">
        <f t="shared" si="4"/>
        <v>18630197</v>
      </c>
      <c r="T65" s="81">
        <f t="shared" si="3"/>
        <v>5.03941253488977</v>
      </c>
      <c r="U65" s="99">
        <f t="shared" si="20"/>
        <v>0</v>
      </c>
    </row>
    <row r="66" spans="1:21" s="99" customFormat="1" ht="15.75" customHeight="1">
      <c r="A66" s="87" t="s">
        <v>229</v>
      </c>
      <c r="B66" s="87" t="s">
        <v>180</v>
      </c>
      <c r="C66" s="89">
        <v>83121000</v>
      </c>
      <c r="D66" s="89">
        <v>83121000</v>
      </c>
      <c r="E66" s="89"/>
      <c r="F66" s="89"/>
      <c r="G66" s="89"/>
      <c r="H66" s="89">
        <v>83121000</v>
      </c>
      <c r="I66" s="89">
        <v>53121000</v>
      </c>
      <c r="J66" s="89">
        <v>1300000</v>
      </c>
      <c r="K66" s="89"/>
      <c r="L66" s="89"/>
      <c r="M66" s="89">
        <v>51821000</v>
      </c>
      <c r="N66" s="89"/>
      <c r="O66" s="89"/>
      <c r="P66" s="89"/>
      <c r="Q66" s="153">
        <v>0</v>
      </c>
      <c r="R66" s="154">
        <v>30000000</v>
      </c>
      <c r="S66" s="95">
        <f t="shared" si="4"/>
        <v>81821000</v>
      </c>
      <c r="T66" s="81">
        <f t="shared" si="3"/>
        <v>2.447243086538281</v>
      </c>
      <c r="U66" s="99">
        <f t="shared" si="20"/>
        <v>0</v>
      </c>
    </row>
    <row r="67" spans="1:21" s="99" customFormat="1" ht="15.75" customHeight="1">
      <c r="A67" s="87" t="s">
        <v>230</v>
      </c>
      <c r="B67" s="87" t="s">
        <v>181</v>
      </c>
      <c r="C67" s="89">
        <v>30428326</v>
      </c>
      <c r="D67" s="155">
        <v>30361111</v>
      </c>
      <c r="E67" s="89">
        <v>67215</v>
      </c>
      <c r="F67" s="89"/>
      <c r="G67" s="89"/>
      <c r="H67" s="89">
        <v>30428326</v>
      </c>
      <c r="I67" s="89">
        <v>8227782</v>
      </c>
      <c r="J67" s="89">
        <v>5081135</v>
      </c>
      <c r="K67" s="89">
        <v>2610</v>
      </c>
      <c r="L67" s="89"/>
      <c r="M67" s="89">
        <v>3144037</v>
      </c>
      <c r="N67" s="89"/>
      <c r="O67" s="89"/>
      <c r="P67" s="89"/>
      <c r="Q67" s="153">
        <v>0</v>
      </c>
      <c r="R67" s="154">
        <v>22200544</v>
      </c>
      <c r="S67" s="95">
        <f t="shared" si="4"/>
        <v>25344581</v>
      </c>
      <c r="T67" s="81">
        <f t="shared" si="3"/>
        <v>61.78755100706363</v>
      </c>
      <c r="U67" s="99">
        <f t="shared" si="20"/>
        <v>0</v>
      </c>
    </row>
    <row r="68" spans="1:21" s="99" customFormat="1" ht="15.75" customHeight="1">
      <c r="A68" s="87" t="s">
        <v>231</v>
      </c>
      <c r="B68" s="87" t="s">
        <v>224</v>
      </c>
      <c r="C68" s="89">
        <v>8715642</v>
      </c>
      <c r="D68" s="89">
        <v>8638571</v>
      </c>
      <c r="E68" s="89">
        <v>77071</v>
      </c>
      <c r="F68" s="89"/>
      <c r="G68" s="89"/>
      <c r="H68" s="89">
        <v>8715642</v>
      </c>
      <c r="I68" s="89">
        <v>6183546</v>
      </c>
      <c r="J68" s="89">
        <v>53979</v>
      </c>
      <c r="K68" s="89"/>
      <c r="L68" s="89"/>
      <c r="M68" s="89">
        <v>6129567</v>
      </c>
      <c r="N68" s="89"/>
      <c r="O68" s="89"/>
      <c r="P68" s="89"/>
      <c r="Q68" s="153">
        <v>0</v>
      </c>
      <c r="R68" s="154">
        <v>2532096</v>
      </c>
      <c r="S68" s="95">
        <f t="shared" si="4"/>
        <v>8661663</v>
      </c>
      <c r="T68" s="81">
        <f t="shared" si="3"/>
        <v>0.8729457175542965</v>
      </c>
      <c r="U68" s="99">
        <f t="shared" si="20"/>
        <v>0</v>
      </c>
    </row>
    <row r="69" spans="1:21" s="99" customFormat="1" ht="15.75" customHeight="1">
      <c r="A69" s="87" t="s">
        <v>232</v>
      </c>
      <c r="B69" s="87" t="s">
        <v>225</v>
      </c>
      <c r="C69" s="89">
        <v>30070295</v>
      </c>
      <c r="D69" s="89">
        <v>29598036</v>
      </c>
      <c r="E69" s="89">
        <v>472259</v>
      </c>
      <c r="F69" s="89">
        <v>472259</v>
      </c>
      <c r="G69" s="89">
        <v>9220570</v>
      </c>
      <c r="H69" s="89">
        <v>29598036</v>
      </c>
      <c r="I69" s="89">
        <v>25982746</v>
      </c>
      <c r="J69" s="89">
        <v>58086</v>
      </c>
      <c r="K69" s="89">
        <v>9321</v>
      </c>
      <c r="L69" s="89"/>
      <c r="M69" s="89">
        <v>25915339</v>
      </c>
      <c r="N69" s="89"/>
      <c r="O69" s="89"/>
      <c r="P69" s="89"/>
      <c r="Q69" s="153">
        <v>0</v>
      </c>
      <c r="R69" s="154">
        <v>3615290</v>
      </c>
      <c r="S69" s="95">
        <f t="shared" si="4"/>
        <v>29530629</v>
      </c>
      <c r="T69" s="81">
        <f t="shared" si="3"/>
        <v>0.25942985395000207</v>
      </c>
      <c r="U69" s="99">
        <f t="shared" si="20"/>
        <v>0</v>
      </c>
    </row>
    <row r="70" spans="1:21" s="96" customFormat="1" ht="15.75" customHeight="1">
      <c r="A70" s="93">
        <v>8</v>
      </c>
      <c r="B70" s="170" t="s">
        <v>123</v>
      </c>
      <c r="C70" s="95">
        <f aca="true" t="shared" si="21" ref="C70:R70">SUM(C71:C73)</f>
        <v>39615308</v>
      </c>
      <c r="D70" s="95">
        <f t="shared" si="21"/>
        <v>38852964</v>
      </c>
      <c r="E70" s="95">
        <f t="shared" si="21"/>
        <v>762344</v>
      </c>
      <c r="F70" s="95">
        <f t="shared" si="21"/>
        <v>84593</v>
      </c>
      <c r="G70" s="95">
        <f t="shared" si="21"/>
        <v>1</v>
      </c>
      <c r="H70" s="95">
        <f t="shared" si="21"/>
        <v>39530715</v>
      </c>
      <c r="I70" s="95">
        <f t="shared" si="21"/>
        <v>28524655</v>
      </c>
      <c r="J70" s="95">
        <f t="shared" si="21"/>
        <v>314893</v>
      </c>
      <c r="K70" s="95">
        <f t="shared" si="21"/>
        <v>0</v>
      </c>
      <c r="L70" s="95">
        <f t="shared" si="21"/>
        <v>0</v>
      </c>
      <c r="M70" s="95">
        <f t="shared" si="21"/>
        <v>28209154</v>
      </c>
      <c r="N70" s="95">
        <f t="shared" si="21"/>
        <v>0</v>
      </c>
      <c r="O70" s="95">
        <f t="shared" si="21"/>
        <v>608</v>
      </c>
      <c r="P70" s="95">
        <f t="shared" si="21"/>
        <v>0</v>
      </c>
      <c r="Q70" s="95">
        <f t="shared" si="21"/>
        <v>0</v>
      </c>
      <c r="R70" s="95">
        <f t="shared" si="21"/>
        <v>11006060</v>
      </c>
      <c r="S70" s="95">
        <f t="shared" si="4"/>
        <v>39215822</v>
      </c>
      <c r="T70" s="81">
        <f t="shared" si="3"/>
        <v>1.1039327206586724</v>
      </c>
      <c r="U70" s="96">
        <f t="shared" si="20"/>
        <v>0</v>
      </c>
    </row>
    <row r="71" spans="1:21" s="99" customFormat="1" ht="15.75" customHeight="1">
      <c r="A71" s="87" t="s">
        <v>124</v>
      </c>
      <c r="B71" s="156" t="s">
        <v>125</v>
      </c>
      <c r="C71" s="157">
        <f>D71+E71</f>
        <v>3267367</v>
      </c>
      <c r="D71" s="157">
        <v>2823439</v>
      </c>
      <c r="E71" s="157">
        <v>443928</v>
      </c>
      <c r="F71" s="157">
        <v>84593</v>
      </c>
      <c r="G71" s="157"/>
      <c r="H71" s="157">
        <f>I71+R71</f>
        <v>3182774</v>
      </c>
      <c r="I71" s="157">
        <f>J71+K71+L71+M71+N71+O71+P71+Q71</f>
        <v>2503183</v>
      </c>
      <c r="J71" s="157">
        <v>281218</v>
      </c>
      <c r="K71" s="157">
        <v>0</v>
      </c>
      <c r="L71" s="157"/>
      <c r="M71" s="157">
        <v>2221965</v>
      </c>
      <c r="N71" s="157"/>
      <c r="O71" s="157"/>
      <c r="P71" s="157"/>
      <c r="Q71" s="157"/>
      <c r="R71" s="157">
        <v>679591</v>
      </c>
      <c r="S71" s="95">
        <f t="shared" si="4"/>
        <v>2901556</v>
      </c>
      <c r="T71" s="81">
        <f t="shared" si="3"/>
        <v>11.234416341114493</v>
      </c>
      <c r="U71" s="99">
        <f t="shared" si="20"/>
        <v>0</v>
      </c>
    </row>
    <row r="72" spans="1:21" s="99" customFormat="1" ht="15.75" customHeight="1">
      <c r="A72" s="87" t="s">
        <v>126</v>
      </c>
      <c r="B72" s="158" t="s">
        <v>218</v>
      </c>
      <c r="C72" s="157">
        <f>D72+E72</f>
        <v>18766568</v>
      </c>
      <c r="D72" s="157">
        <v>18563126</v>
      </c>
      <c r="E72" s="157">
        <v>203442</v>
      </c>
      <c r="F72" s="157">
        <v>0</v>
      </c>
      <c r="G72" s="157">
        <v>1</v>
      </c>
      <c r="H72" s="157">
        <f>I72+R72</f>
        <v>18766568</v>
      </c>
      <c r="I72" s="157">
        <f>J72+K72+L72+M72+N72+O72+P72+Q72</f>
        <v>11507066</v>
      </c>
      <c r="J72" s="157">
        <v>18920</v>
      </c>
      <c r="K72" s="157">
        <v>0</v>
      </c>
      <c r="L72" s="157"/>
      <c r="M72" s="157">
        <v>11487538</v>
      </c>
      <c r="N72" s="157"/>
      <c r="O72" s="157">
        <v>608</v>
      </c>
      <c r="P72" s="157"/>
      <c r="Q72" s="157"/>
      <c r="R72" s="157">
        <v>7259502</v>
      </c>
      <c r="S72" s="95">
        <f t="shared" si="4"/>
        <v>18747648</v>
      </c>
      <c r="T72" s="81">
        <f t="shared" si="3"/>
        <v>0.16442071332518646</v>
      </c>
      <c r="U72" s="99">
        <f t="shared" si="20"/>
        <v>0</v>
      </c>
    </row>
    <row r="73" spans="1:21" s="99" customFormat="1" ht="15.75" customHeight="1">
      <c r="A73" s="87" t="s">
        <v>220</v>
      </c>
      <c r="B73" s="158" t="s">
        <v>219</v>
      </c>
      <c r="C73" s="157">
        <f>D73+E73</f>
        <v>17581373</v>
      </c>
      <c r="D73" s="157">
        <v>17466399</v>
      </c>
      <c r="E73" s="157">
        <v>114974</v>
      </c>
      <c r="F73" s="157"/>
      <c r="G73" s="157"/>
      <c r="H73" s="157">
        <f>I73+R73</f>
        <v>17581373</v>
      </c>
      <c r="I73" s="157">
        <f>J73+K73+L73+M73+N73+O73+P73+Q73</f>
        <v>14514406</v>
      </c>
      <c r="J73" s="157">
        <v>14755</v>
      </c>
      <c r="K73" s="157">
        <v>0</v>
      </c>
      <c r="L73" s="157"/>
      <c r="M73" s="157">
        <v>14499651</v>
      </c>
      <c r="N73" s="157"/>
      <c r="O73" s="157"/>
      <c r="P73" s="157"/>
      <c r="Q73" s="157"/>
      <c r="R73" s="157">
        <v>3066967</v>
      </c>
      <c r="S73" s="95">
        <f t="shared" si="4"/>
        <v>17566618</v>
      </c>
      <c r="T73" s="81">
        <f t="shared" si="3"/>
        <v>0.10165762208939175</v>
      </c>
      <c r="U73" s="99">
        <f t="shared" si="20"/>
        <v>0</v>
      </c>
    </row>
    <row r="74" spans="1:21" s="96" customFormat="1" ht="15.75" customHeight="1">
      <c r="A74" s="93">
        <v>9</v>
      </c>
      <c r="B74" s="170" t="s">
        <v>127</v>
      </c>
      <c r="C74" s="94">
        <f>D74+E74</f>
        <v>10945397</v>
      </c>
      <c r="D74" s="95">
        <f aca="true" t="shared" si="22" ref="D74:R74">SUM(D75:D77)</f>
        <v>10696272</v>
      </c>
      <c r="E74" s="95">
        <f t="shared" si="22"/>
        <v>249125</v>
      </c>
      <c r="F74" s="95">
        <f t="shared" si="22"/>
        <v>0</v>
      </c>
      <c r="G74" s="95">
        <f t="shared" si="22"/>
        <v>0</v>
      </c>
      <c r="H74" s="95">
        <f t="shared" si="22"/>
        <v>10945397</v>
      </c>
      <c r="I74" s="95">
        <f t="shared" si="22"/>
        <v>9164659</v>
      </c>
      <c r="J74" s="95">
        <f t="shared" si="22"/>
        <v>92528</v>
      </c>
      <c r="K74" s="95">
        <f t="shared" si="22"/>
        <v>88600</v>
      </c>
      <c r="L74" s="95">
        <f t="shared" si="22"/>
        <v>0</v>
      </c>
      <c r="M74" s="95">
        <f t="shared" si="22"/>
        <v>8983531</v>
      </c>
      <c r="N74" s="95">
        <f t="shared" si="22"/>
        <v>0</v>
      </c>
      <c r="O74" s="95">
        <f t="shared" si="22"/>
        <v>0</v>
      </c>
      <c r="P74" s="95">
        <f t="shared" si="22"/>
        <v>0</v>
      </c>
      <c r="Q74" s="95">
        <f t="shared" si="22"/>
        <v>0</v>
      </c>
      <c r="R74" s="95">
        <f t="shared" si="22"/>
        <v>1780738</v>
      </c>
      <c r="S74" s="95">
        <f t="shared" si="4"/>
        <v>10764269</v>
      </c>
      <c r="T74" s="81">
        <f t="shared" si="3"/>
        <v>1.9763746801708608</v>
      </c>
      <c r="U74" s="96">
        <f t="shared" si="20"/>
        <v>0</v>
      </c>
    </row>
    <row r="75" spans="1:21" s="99" customFormat="1" ht="15.75" customHeight="1">
      <c r="A75" s="87" t="s">
        <v>128</v>
      </c>
      <c r="B75" s="87" t="s">
        <v>129</v>
      </c>
      <c r="C75" s="139">
        <f>SUM(D75:E75)</f>
        <v>3468296</v>
      </c>
      <c r="D75" s="139">
        <v>3380007</v>
      </c>
      <c r="E75" s="139">
        <f>32532+55757</f>
        <v>88289</v>
      </c>
      <c r="F75" s="139">
        <v>0</v>
      </c>
      <c r="G75" s="139">
        <v>0</v>
      </c>
      <c r="H75" s="139">
        <f>I75+R75</f>
        <v>3468296</v>
      </c>
      <c r="I75" s="139">
        <f>SUM(J75:Q75)</f>
        <v>2649666</v>
      </c>
      <c r="J75" s="139">
        <f>29384+40732</f>
        <v>70116</v>
      </c>
      <c r="K75" s="139">
        <f>73600</f>
        <v>73600</v>
      </c>
      <c r="L75" s="139">
        <v>0</v>
      </c>
      <c r="M75" s="139">
        <f>C75-J75-K75-L75-N75-O75-P75-Q75-R75-F75-G75</f>
        <v>2505950</v>
      </c>
      <c r="N75" s="139">
        <v>0</v>
      </c>
      <c r="O75" s="139">
        <v>0</v>
      </c>
      <c r="P75" s="139">
        <v>0</v>
      </c>
      <c r="Q75" s="140">
        <v>0</v>
      </c>
      <c r="R75" s="90">
        <v>818630</v>
      </c>
      <c r="S75" s="95">
        <f t="shared" si="4"/>
        <v>3324580</v>
      </c>
      <c r="T75" s="81">
        <f t="shared" si="3"/>
        <v>5.423928902737176</v>
      </c>
      <c r="U75" s="99">
        <f t="shared" si="20"/>
        <v>0</v>
      </c>
    </row>
    <row r="76" spans="1:21" s="99" customFormat="1" ht="15.75" customHeight="1">
      <c r="A76" s="87" t="s">
        <v>130</v>
      </c>
      <c r="B76" s="87" t="s">
        <v>131</v>
      </c>
      <c r="C76" s="139">
        <f>SUM(D76:E76)</f>
        <v>4535601</v>
      </c>
      <c r="D76" s="139">
        <v>4403090</v>
      </c>
      <c r="E76" s="139">
        <f>112368+20143</f>
        <v>132511</v>
      </c>
      <c r="F76" s="139">
        <v>0</v>
      </c>
      <c r="G76" s="139">
        <v>0</v>
      </c>
      <c r="H76" s="139">
        <f>I76+R76</f>
        <v>4535601</v>
      </c>
      <c r="I76" s="139">
        <f>SUM(J76:Q76)</f>
        <v>4144666</v>
      </c>
      <c r="J76" s="139">
        <f>7887+1600</f>
        <v>9487</v>
      </c>
      <c r="K76" s="139">
        <f>15000</f>
        <v>15000</v>
      </c>
      <c r="L76" s="139">
        <v>0</v>
      </c>
      <c r="M76" s="139">
        <f>C76-J76-K76-L76-N76-O76-P76-Q76-R76-F76-G76</f>
        <v>4120179</v>
      </c>
      <c r="N76" s="139">
        <v>0</v>
      </c>
      <c r="O76" s="139">
        <v>0</v>
      </c>
      <c r="P76" s="139">
        <v>0</v>
      </c>
      <c r="Q76" s="140">
        <v>0</v>
      </c>
      <c r="R76" s="90">
        <v>390935</v>
      </c>
      <c r="S76" s="95">
        <f t="shared" si="4"/>
        <v>4511114</v>
      </c>
      <c r="T76" s="81">
        <f t="shared" si="3"/>
        <v>0.5908075584377608</v>
      </c>
      <c r="U76" s="99">
        <f t="shared" si="20"/>
        <v>0</v>
      </c>
    </row>
    <row r="77" spans="1:21" s="99" customFormat="1" ht="15.75" customHeight="1">
      <c r="A77" s="87" t="s">
        <v>132</v>
      </c>
      <c r="B77" s="87" t="s">
        <v>133</v>
      </c>
      <c r="C77" s="139">
        <f>SUM(D77:E77)</f>
        <v>2941500</v>
      </c>
      <c r="D77" s="139">
        <v>2913175</v>
      </c>
      <c r="E77" s="139">
        <f>15325+13000</f>
        <v>28325</v>
      </c>
      <c r="F77" s="139">
        <v>0</v>
      </c>
      <c r="G77" s="139">
        <v>0</v>
      </c>
      <c r="H77" s="139">
        <f>I77+R77</f>
        <v>2941500</v>
      </c>
      <c r="I77" s="139">
        <f>SUM(J77:Q77)</f>
        <v>2370327</v>
      </c>
      <c r="J77" s="139">
        <f>9225+3700</f>
        <v>12925</v>
      </c>
      <c r="K77" s="139">
        <v>0</v>
      </c>
      <c r="L77" s="139">
        <v>0</v>
      </c>
      <c r="M77" s="139">
        <f>C77-J77-K77-L77-N77-O77-P77-Q77-R77-F77-G77</f>
        <v>2357402</v>
      </c>
      <c r="N77" s="139">
        <v>0</v>
      </c>
      <c r="O77" s="139">
        <v>0</v>
      </c>
      <c r="P77" s="139">
        <v>0</v>
      </c>
      <c r="Q77" s="140">
        <v>0</v>
      </c>
      <c r="R77" s="90">
        <v>571173</v>
      </c>
      <c r="S77" s="95">
        <f t="shared" si="4"/>
        <v>2928575</v>
      </c>
      <c r="T77" s="81">
        <f aca="true" t="shared" si="23" ref="T77:T115">(J77+K77+L77)/I77*100</f>
        <v>0.5452834144824743</v>
      </c>
      <c r="U77" s="99">
        <f aca="true" t="shared" si="24" ref="U77:U103">C77-F77-G77-H77</f>
        <v>0</v>
      </c>
    </row>
    <row r="78" spans="1:21" s="96" customFormat="1" ht="15.75" customHeight="1">
      <c r="A78" s="93">
        <v>10</v>
      </c>
      <c r="B78" s="170" t="s">
        <v>134</v>
      </c>
      <c r="C78" s="95">
        <f>SUM(C79:C88)</f>
        <v>424167930</v>
      </c>
      <c r="D78" s="95">
        <f>SUM(D79:D88)</f>
        <v>394438705</v>
      </c>
      <c r="E78" s="95">
        <f aca="true" t="shared" si="25" ref="E78:R78">SUM(E79:E88)</f>
        <v>29729225</v>
      </c>
      <c r="F78" s="95">
        <f t="shared" si="25"/>
        <v>33572</v>
      </c>
      <c r="G78" s="95">
        <f t="shared" si="25"/>
        <v>0</v>
      </c>
      <c r="H78" s="95">
        <f t="shared" si="25"/>
        <v>424134358</v>
      </c>
      <c r="I78" s="95">
        <f t="shared" si="25"/>
        <v>165615562</v>
      </c>
      <c r="J78" s="95">
        <f t="shared" si="25"/>
        <v>477146</v>
      </c>
      <c r="K78" s="95">
        <f t="shared" si="25"/>
        <v>98323</v>
      </c>
      <c r="L78" s="95">
        <f t="shared" si="25"/>
        <v>0</v>
      </c>
      <c r="M78" s="95">
        <f t="shared" si="25"/>
        <v>161368086</v>
      </c>
      <c r="N78" s="95">
        <f t="shared" si="25"/>
        <v>297377</v>
      </c>
      <c r="O78" s="95">
        <f t="shared" si="25"/>
        <v>0</v>
      </c>
      <c r="P78" s="95">
        <f t="shared" si="25"/>
        <v>0</v>
      </c>
      <c r="Q78" s="95">
        <f t="shared" si="25"/>
        <v>3374630</v>
      </c>
      <c r="R78" s="95">
        <f t="shared" si="25"/>
        <v>258518796</v>
      </c>
      <c r="S78" s="95">
        <f aca="true" t="shared" si="26" ref="S78:S115">SUM(M78:R78)</f>
        <v>423558889</v>
      </c>
      <c r="T78" s="81">
        <f t="shared" si="23"/>
        <v>0.3474727815735094</v>
      </c>
      <c r="U78" s="96">
        <f t="shared" si="24"/>
        <v>0</v>
      </c>
    </row>
    <row r="79" spans="1:21" s="99" customFormat="1" ht="15.75" customHeight="1">
      <c r="A79" s="87" t="s">
        <v>135</v>
      </c>
      <c r="B79" s="142" t="s">
        <v>187</v>
      </c>
      <c r="C79" s="159">
        <v>5568327</v>
      </c>
      <c r="D79" s="159">
        <v>212436</v>
      </c>
      <c r="E79" s="159">
        <v>5355891</v>
      </c>
      <c r="F79" s="159">
        <v>0</v>
      </c>
      <c r="G79" s="159">
        <v>0</v>
      </c>
      <c r="H79" s="159">
        <v>5568327</v>
      </c>
      <c r="I79" s="159">
        <v>5446149</v>
      </c>
      <c r="J79" s="159">
        <v>0</v>
      </c>
      <c r="K79" s="159">
        <v>0</v>
      </c>
      <c r="L79" s="159">
        <v>0</v>
      </c>
      <c r="M79" s="159">
        <v>5446149</v>
      </c>
      <c r="N79" s="159">
        <v>0</v>
      </c>
      <c r="O79" s="159">
        <v>0</v>
      </c>
      <c r="P79" s="159">
        <v>0</v>
      </c>
      <c r="Q79" s="159">
        <v>0</v>
      </c>
      <c r="R79" s="159">
        <v>122178</v>
      </c>
      <c r="S79" s="95">
        <f t="shared" si="26"/>
        <v>5568327</v>
      </c>
      <c r="T79" s="81">
        <f t="shared" si="23"/>
        <v>0</v>
      </c>
      <c r="U79" s="99">
        <f t="shared" si="24"/>
        <v>0</v>
      </c>
    </row>
    <row r="80" spans="1:21" s="99" customFormat="1" ht="15.75" customHeight="1">
      <c r="A80" s="87" t="s">
        <v>250</v>
      </c>
      <c r="B80" s="142" t="s">
        <v>188</v>
      </c>
      <c r="C80" s="159">
        <v>163442213</v>
      </c>
      <c r="D80" s="159">
        <v>159813863</v>
      </c>
      <c r="E80" s="159">
        <v>3628350</v>
      </c>
      <c r="F80" s="159">
        <v>0</v>
      </c>
      <c r="G80" s="159">
        <v>0</v>
      </c>
      <c r="H80" s="159">
        <v>163442213</v>
      </c>
      <c r="I80" s="159">
        <v>15971801</v>
      </c>
      <c r="J80" s="159">
        <v>262920</v>
      </c>
      <c r="K80" s="159">
        <v>0</v>
      </c>
      <c r="L80" s="159">
        <v>0</v>
      </c>
      <c r="M80" s="159">
        <v>15708881</v>
      </c>
      <c r="N80" s="159">
        <v>0</v>
      </c>
      <c r="O80" s="159">
        <v>0</v>
      </c>
      <c r="P80" s="159">
        <v>0</v>
      </c>
      <c r="Q80" s="159">
        <v>0</v>
      </c>
      <c r="R80" s="159">
        <v>147470412</v>
      </c>
      <c r="S80" s="95">
        <f t="shared" si="26"/>
        <v>163179293</v>
      </c>
      <c r="T80" s="81">
        <f t="shared" si="23"/>
        <v>1.6461512386737098</v>
      </c>
      <c r="U80" s="99">
        <f t="shared" si="24"/>
        <v>0</v>
      </c>
    </row>
    <row r="81" spans="1:21" s="99" customFormat="1" ht="15.75" customHeight="1">
      <c r="A81" s="87" t="s">
        <v>136</v>
      </c>
      <c r="B81" s="142" t="s">
        <v>143</v>
      </c>
      <c r="C81" s="159">
        <v>23774192</v>
      </c>
      <c r="D81" s="159">
        <v>23550628</v>
      </c>
      <c r="E81" s="159">
        <v>223564</v>
      </c>
      <c r="F81" s="159">
        <v>0</v>
      </c>
      <c r="G81" s="159">
        <v>0</v>
      </c>
      <c r="H81" s="159">
        <v>23774192</v>
      </c>
      <c r="I81" s="159">
        <v>22674494</v>
      </c>
      <c r="J81" s="159">
        <v>110600</v>
      </c>
      <c r="K81" s="159">
        <v>0</v>
      </c>
      <c r="L81" s="159">
        <v>0</v>
      </c>
      <c r="M81" s="159">
        <v>19991734</v>
      </c>
      <c r="N81" s="159">
        <v>0</v>
      </c>
      <c r="O81" s="159">
        <v>0</v>
      </c>
      <c r="P81" s="159">
        <v>0</v>
      </c>
      <c r="Q81" s="159">
        <v>2572160</v>
      </c>
      <c r="R81" s="159">
        <v>1099698</v>
      </c>
      <c r="S81" s="95">
        <f t="shared" si="26"/>
        <v>23663592</v>
      </c>
      <c r="T81" s="81">
        <f t="shared" si="23"/>
        <v>0.48777273706747326</v>
      </c>
      <c r="U81" s="99">
        <f t="shared" si="24"/>
        <v>0</v>
      </c>
    </row>
    <row r="82" spans="1:21" s="99" customFormat="1" ht="15.75" customHeight="1">
      <c r="A82" s="87" t="s">
        <v>137</v>
      </c>
      <c r="B82" s="142" t="s">
        <v>189</v>
      </c>
      <c r="C82" s="159">
        <v>7730711</v>
      </c>
      <c r="D82" s="159">
        <v>7724411</v>
      </c>
      <c r="E82" s="159">
        <v>6300</v>
      </c>
      <c r="F82" s="159">
        <v>0</v>
      </c>
      <c r="G82" s="159">
        <v>0</v>
      </c>
      <c r="H82" s="159">
        <v>7730711</v>
      </c>
      <c r="I82" s="159">
        <v>5983238</v>
      </c>
      <c r="J82" s="159">
        <v>26900</v>
      </c>
      <c r="K82" s="159">
        <v>27042</v>
      </c>
      <c r="L82" s="159">
        <v>0</v>
      </c>
      <c r="M82" s="159">
        <v>5126826</v>
      </c>
      <c r="N82" s="159">
        <v>0</v>
      </c>
      <c r="O82" s="159">
        <v>0</v>
      </c>
      <c r="P82" s="159">
        <v>0</v>
      </c>
      <c r="Q82" s="159">
        <v>802470</v>
      </c>
      <c r="R82" s="159">
        <v>1747473</v>
      </c>
      <c r="S82" s="95">
        <f t="shared" si="26"/>
        <v>7676769</v>
      </c>
      <c r="T82" s="81">
        <f t="shared" si="23"/>
        <v>0.901551969017445</v>
      </c>
      <c r="U82" s="99">
        <f t="shared" si="24"/>
        <v>0</v>
      </c>
    </row>
    <row r="83" spans="1:21" s="99" customFormat="1" ht="15.75" customHeight="1">
      <c r="A83" s="87" t="s">
        <v>138</v>
      </c>
      <c r="B83" s="142" t="s">
        <v>172</v>
      </c>
      <c r="C83" s="159">
        <v>12830652</v>
      </c>
      <c r="D83" s="159">
        <v>12821590</v>
      </c>
      <c r="E83" s="159">
        <v>9062</v>
      </c>
      <c r="F83" s="159">
        <v>0</v>
      </c>
      <c r="G83" s="159">
        <v>0</v>
      </c>
      <c r="H83" s="159">
        <v>12830652</v>
      </c>
      <c r="I83" s="159">
        <v>12349535</v>
      </c>
      <c r="J83" s="159">
        <v>0</v>
      </c>
      <c r="K83" s="159">
        <v>0</v>
      </c>
      <c r="L83" s="159">
        <v>0</v>
      </c>
      <c r="M83" s="159">
        <v>12349535</v>
      </c>
      <c r="N83" s="159">
        <v>0</v>
      </c>
      <c r="O83" s="159">
        <v>0</v>
      </c>
      <c r="P83" s="159">
        <v>0</v>
      </c>
      <c r="Q83" s="159">
        <v>0</v>
      </c>
      <c r="R83" s="159">
        <v>481117</v>
      </c>
      <c r="S83" s="95">
        <f t="shared" si="26"/>
        <v>12830652</v>
      </c>
      <c r="T83" s="81">
        <f t="shared" si="23"/>
        <v>0</v>
      </c>
      <c r="U83" s="99">
        <f t="shared" si="24"/>
        <v>0</v>
      </c>
    </row>
    <row r="84" spans="1:21" s="99" customFormat="1" ht="15.75" customHeight="1">
      <c r="A84" s="87" t="s">
        <v>139</v>
      </c>
      <c r="B84" s="142" t="s">
        <v>173</v>
      </c>
      <c r="C84" s="159">
        <v>76712946</v>
      </c>
      <c r="D84" s="159">
        <v>76618784</v>
      </c>
      <c r="E84" s="159">
        <v>94162</v>
      </c>
      <c r="F84" s="159">
        <v>0</v>
      </c>
      <c r="G84" s="159">
        <v>0</v>
      </c>
      <c r="H84" s="159">
        <v>76712946</v>
      </c>
      <c r="I84" s="159">
        <v>6872794</v>
      </c>
      <c r="J84" s="159">
        <v>27396</v>
      </c>
      <c r="K84" s="159">
        <v>0</v>
      </c>
      <c r="L84" s="159">
        <v>0</v>
      </c>
      <c r="M84" s="159">
        <v>6695574</v>
      </c>
      <c r="N84" s="159">
        <v>149824</v>
      </c>
      <c r="O84" s="159">
        <v>0</v>
      </c>
      <c r="P84" s="159">
        <v>0</v>
      </c>
      <c r="Q84" s="159">
        <v>0</v>
      </c>
      <c r="R84" s="159">
        <v>69840152</v>
      </c>
      <c r="S84" s="95">
        <f t="shared" si="26"/>
        <v>76685550</v>
      </c>
      <c r="T84" s="81">
        <f t="shared" si="23"/>
        <v>0.3986151774663987</v>
      </c>
      <c r="U84" s="99">
        <f t="shared" si="24"/>
        <v>0</v>
      </c>
    </row>
    <row r="85" spans="1:21" s="99" customFormat="1" ht="15.75" customHeight="1">
      <c r="A85" s="87" t="s">
        <v>140</v>
      </c>
      <c r="B85" s="160" t="s">
        <v>190</v>
      </c>
      <c r="C85" s="161">
        <v>41021029</v>
      </c>
      <c r="D85" s="161">
        <v>22008893</v>
      </c>
      <c r="E85" s="161">
        <v>19012136</v>
      </c>
      <c r="F85" s="161">
        <v>28572</v>
      </c>
      <c r="G85" s="161">
        <v>0</v>
      </c>
      <c r="H85" s="161">
        <v>40992457</v>
      </c>
      <c r="I85" s="161">
        <v>29837399</v>
      </c>
      <c r="J85" s="161">
        <v>13280</v>
      </c>
      <c r="K85" s="161">
        <v>0</v>
      </c>
      <c r="L85" s="161">
        <v>0</v>
      </c>
      <c r="M85" s="161">
        <v>29676566</v>
      </c>
      <c r="N85" s="161">
        <v>147553</v>
      </c>
      <c r="O85" s="161">
        <v>0</v>
      </c>
      <c r="P85" s="161">
        <v>0</v>
      </c>
      <c r="Q85" s="161">
        <v>0</v>
      </c>
      <c r="R85" s="161">
        <v>11155058</v>
      </c>
      <c r="S85" s="95">
        <f t="shared" si="26"/>
        <v>40979177</v>
      </c>
      <c r="T85" s="81">
        <f t="shared" si="23"/>
        <v>0.04450790097353995</v>
      </c>
      <c r="U85" s="99">
        <f t="shared" si="24"/>
        <v>0</v>
      </c>
    </row>
    <row r="86" spans="1:21" s="99" customFormat="1" ht="15.75" customHeight="1">
      <c r="A86" s="87" t="s">
        <v>141</v>
      </c>
      <c r="B86" s="142" t="s">
        <v>191</v>
      </c>
      <c r="C86" s="159">
        <v>54901066</v>
      </c>
      <c r="D86" s="159">
        <v>53559431</v>
      </c>
      <c r="E86" s="159">
        <v>1341635</v>
      </c>
      <c r="F86" s="159">
        <v>0</v>
      </c>
      <c r="G86" s="159">
        <v>0</v>
      </c>
      <c r="H86" s="159">
        <v>54901066</v>
      </c>
      <c r="I86" s="159">
        <v>31517910</v>
      </c>
      <c r="J86" s="159">
        <v>21600</v>
      </c>
      <c r="K86" s="159">
        <v>7813</v>
      </c>
      <c r="L86" s="159">
        <v>0</v>
      </c>
      <c r="M86" s="159">
        <v>31488497</v>
      </c>
      <c r="N86" s="159">
        <v>0</v>
      </c>
      <c r="O86" s="159">
        <v>0</v>
      </c>
      <c r="P86" s="159">
        <v>0</v>
      </c>
      <c r="Q86" s="159">
        <v>0</v>
      </c>
      <c r="R86" s="159">
        <v>23383156</v>
      </c>
      <c r="S86" s="95">
        <f t="shared" si="26"/>
        <v>54871653</v>
      </c>
      <c r="T86" s="81">
        <f t="shared" si="23"/>
        <v>0.09332154321146294</v>
      </c>
      <c r="U86" s="99">
        <f t="shared" si="24"/>
        <v>0</v>
      </c>
    </row>
    <row r="87" spans="1:21" s="99" customFormat="1" ht="15.75" customHeight="1">
      <c r="A87" s="87" t="s">
        <v>142</v>
      </c>
      <c r="B87" s="142" t="s">
        <v>192</v>
      </c>
      <c r="C87" s="159">
        <v>8718725</v>
      </c>
      <c r="D87" s="159">
        <v>8662800</v>
      </c>
      <c r="E87" s="159">
        <v>55925</v>
      </c>
      <c r="F87" s="159">
        <v>5000</v>
      </c>
      <c r="G87" s="159">
        <v>0</v>
      </c>
      <c r="H87" s="159">
        <v>8713725</v>
      </c>
      <c r="I87" s="159">
        <v>7240079</v>
      </c>
      <c r="J87" s="159">
        <v>11950</v>
      </c>
      <c r="K87" s="159">
        <v>25150</v>
      </c>
      <c r="L87" s="159">
        <v>0</v>
      </c>
      <c r="M87" s="159">
        <v>7202979</v>
      </c>
      <c r="N87" s="159">
        <v>0</v>
      </c>
      <c r="O87" s="159">
        <v>0</v>
      </c>
      <c r="P87" s="159">
        <v>0</v>
      </c>
      <c r="Q87" s="159">
        <v>0</v>
      </c>
      <c r="R87" s="159">
        <v>1473646</v>
      </c>
      <c r="S87" s="95">
        <f t="shared" si="26"/>
        <v>8676625</v>
      </c>
      <c r="T87" s="81">
        <f t="shared" si="23"/>
        <v>0.5124253478449614</v>
      </c>
      <c r="U87" s="99">
        <f t="shared" si="24"/>
        <v>0</v>
      </c>
    </row>
    <row r="88" spans="1:20" s="99" customFormat="1" ht="15.75" customHeight="1">
      <c r="A88" s="87" t="s">
        <v>275</v>
      </c>
      <c r="B88" s="142" t="s">
        <v>276</v>
      </c>
      <c r="C88" s="159">
        <v>29468069</v>
      </c>
      <c r="D88" s="159">
        <v>29465869</v>
      </c>
      <c r="E88" s="159">
        <v>2200</v>
      </c>
      <c r="F88" s="159">
        <v>0</v>
      </c>
      <c r="G88" s="159">
        <v>0</v>
      </c>
      <c r="H88" s="159">
        <v>29468069</v>
      </c>
      <c r="I88" s="159">
        <v>27722163</v>
      </c>
      <c r="J88" s="159">
        <v>2500</v>
      </c>
      <c r="K88" s="159">
        <v>38318</v>
      </c>
      <c r="L88" s="159">
        <v>0</v>
      </c>
      <c r="M88" s="159">
        <v>27681345</v>
      </c>
      <c r="N88" s="159">
        <v>0</v>
      </c>
      <c r="O88" s="159">
        <v>0</v>
      </c>
      <c r="P88" s="159">
        <v>0</v>
      </c>
      <c r="Q88" s="159">
        <v>0</v>
      </c>
      <c r="R88" s="159">
        <v>1745906</v>
      </c>
      <c r="S88" s="95">
        <f t="shared" si="26"/>
        <v>29427251</v>
      </c>
      <c r="T88" s="81">
        <f t="shared" si="23"/>
        <v>0.1472395931010145</v>
      </c>
    </row>
    <row r="89" spans="1:21" s="96" customFormat="1" ht="15.75" customHeight="1">
      <c r="A89" s="93">
        <v>11</v>
      </c>
      <c r="B89" s="170" t="s">
        <v>144</v>
      </c>
      <c r="C89" s="94">
        <f>C90+C91</f>
        <v>9972654</v>
      </c>
      <c r="D89" s="94">
        <f aca="true" t="shared" si="27" ref="D89:R89">D90+D91</f>
        <v>9903693</v>
      </c>
      <c r="E89" s="94">
        <f t="shared" si="27"/>
        <v>68961</v>
      </c>
      <c r="F89" s="94">
        <f t="shared" si="27"/>
        <v>0</v>
      </c>
      <c r="G89" s="94">
        <f t="shared" si="27"/>
        <v>0</v>
      </c>
      <c r="H89" s="94">
        <f t="shared" si="27"/>
        <v>9972654</v>
      </c>
      <c r="I89" s="94">
        <f t="shared" si="27"/>
        <v>5979466</v>
      </c>
      <c r="J89" s="94">
        <f t="shared" si="27"/>
        <v>150098</v>
      </c>
      <c r="K89" s="94">
        <f t="shared" si="27"/>
        <v>0</v>
      </c>
      <c r="L89" s="94">
        <f t="shared" si="27"/>
        <v>0</v>
      </c>
      <c r="M89" s="94">
        <f t="shared" si="27"/>
        <v>5590294</v>
      </c>
      <c r="N89" s="94">
        <f t="shared" si="27"/>
        <v>0</v>
      </c>
      <c r="O89" s="94">
        <f t="shared" si="27"/>
        <v>0</v>
      </c>
      <c r="P89" s="94">
        <f t="shared" si="27"/>
        <v>0</v>
      </c>
      <c r="Q89" s="94">
        <f t="shared" si="27"/>
        <v>239074</v>
      </c>
      <c r="R89" s="94">
        <f t="shared" si="27"/>
        <v>3993188</v>
      </c>
      <c r="S89" s="95">
        <f t="shared" si="26"/>
        <v>9822556</v>
      </c>
      <c r="T89" s="81">
        <f t="shared" si="23"/>
        <v>2.5102241571404535</v>
      </c>
      <c r="U89" s="96">
        <f t="shared" si="24"/>
        <v>0</v>
      </c>
    </row>
    <row r="90" spans="1:21" s="99" customFormat="1" ht="15.75" customHeight="1">
      <c r="A90" s="87" t="s">
        <v>145</v>
      </c>
      <c r="B90" s="141" t="s">
        <v>146</v>
      </c>
      <c r="C90" s="162">
        <f>D90+E90</f>
        <v>6367136</v>
      </c>
      <c r="D90" s="162">
        <v>6306675</v>
      </c>
      <c r="E90" s="162">
        <v>60461</v>
      </c>
      <c r="F90" s="162">
        <v>0</v>
      </c>
      <c r="G90" s="162">
        <v>0</v>
      </c>
      <c r="H90" s="162">
        <f>I90+R90</f>
        <v>6367136</v>
      </c>
      <c r="I90" s="162">
        <f>J90+K90+L90+M90+N90+O90+P90+Q90</f>
        <v>2935370</v>
      </c>
      <c r="J90" s="162">
        <v>147098</v>
      </c>
      <c r="K90" s="162">
        <v>0</v>
      </c>
      <c r="L90" s="162">
        <v>0</v>
      </c>
      <c r="M90" s="162">
        <v>2603798</v>
      </c>
      <c r="N90" s="162">
        <v>0</v>
      </c>
      <c r="O90" s="162">
        <v>0</v>
      </c>
      <c r="P90" s="162">
        <v>0</v>
      </c>
      <c r="Q90" s="163">
        <v>184474</v>
      </c>
      <c r="R90" s="164">
        <v>3431766</v>
      </c>
      <c r="S90" s="95">
        <f t="shared" si="26"/>
        <v>6220038</v>
      </c>
      <c r="T90" s="81">
        <f t="shared" si="23"/>
        <v>5.011225160712278</v>
      </c>
      <c r="U90" s="99">
        <f t="shared" si="24"/>
        <v>0</v>
      </c>
    </row>
    <row r="91" spans="1:21" s="99" customFormat="1" ht="15.75" customHeight="1">
      <c r="A91" s="87" t="s">
        <v>147</v>
      </c>
      <c r="B91" s="141" t="s">
        <v>182</v>
      </c>
      <c r="C91" s="162">
        <f>D91+E91</f>
        <v>3605518</v>
      </c>
      <c r="D91" s="162">
        <v>3597018</v>
      </c>
      <c r="E91" s="162">
        <v>8500</v>
      </c>
      <c r="F91" s="162">
        <v>0</v>
      </c>
      <c r="G91" s="162">
        <v>0</v>
      </c>
      <c r="H91" s="162">
        <f>I91+R91</f>
        <v>3605518</v>
      </c>
      <c r="I91" s="162">
        <f>J91+K91+L91+M91+N91+O91+P91+Q91</f>
        <v>3044096</v>
      </c>
      <c r="J91" s="162">
        <v>3000</v>
      </c>
      <c r="K91" s="162">
        <v>0</v>
      </c>
      <c r="L91" s="162">
        <v>0</v>
      </c>
      <c r="M91" s="162">
        <v>2986496</v>
      </c>
      <c r="N91" s="162">
        <v>0</v>
      </c>
      <c r="O91" s="162">
        <v>0</v>
      </c>
      <c r="P91" s="162">
        <v>0</v>
      </c>
      <c r="Q91" s="163">
        <v>54600</v>
      </c>
      <c r="R91" s="164">
        <v>561422</v>
      </c>
      <c r="S91" s="95">
        <f t="shared" si="26"/>
        <v>3602518</v>
      </c>
      <c r="T91" s="81">
        <f t="shared" si="23"/>
        <v>0.09855142544781768</v>
      </c>
      <c r="U91" s="99">
        <f t="shared" si="24"/>
        <v>0</v>
      </c>
    </row>
    <row r="92" spans="1:21" s="96" customFormat="1" ht="15.75" customHeight="1">
      <c r="A92" s="93">
        <v>12</v>
      </c>
      <c r="B92" s="170" t="s">
        <v>148</v>
      </c>
      <c r="C92" s="94">
        <f>SUM(C93:C95)</f>
        <v>27716441</v>
      </c>
      <c r="D92" s="94">
        <f aca="true" t="shared" si="28" ref="D92:R92">SUM(D93:D95)</f>
        <v>19532182</v>
      </c>
      <c r="E92" s="94">
        <f t="shared" si="28"/>
        <v>8184259</v>
      </c>
      <c r="F92" s="94">
        <f t="shared" si="28"/>
        <v>3200</v>
      </c>
      <c r="G92" s="94">
        <f t="shared" si="28"/>
        <v>0</v>
      </c>
      <c r="H92" s="94">
        <f t="shared" si="28"/>
        <v>27713241</v>
      </c>
      <c r="I92" s="94">
        <f t="shared" si="28"/>
        <v>26527100</v>
      </c>
      <c r="J92" s="94">
        <f t="shared" si="28"/>
        <v>1736512</v>
      </c>
      <c r="K92" s="94">
        <f t="shared" si="28"/>
        <v>3157842</v>
      </c>
      <c r="L92" s="94">
        <f t="shared" si="28"/>
        <v>0</v>
      </c>
      <c r="M92" s="94">
        <f t="shared" si="28"/>
        <v>17087380</v>
      </c>
      <c r="N92" s="94">
        <f t="shared" si="28"/>
        <v>4545366</v>
      </c>
      <c r="O92" s="94">
        <f t="shared" si="28"/>
        <v>0</v>
      </c>
      <c r="P92" s="94">
        <f t="shared" si="28"/>
        <v>0</v>
      </c>
      <c r="Q92" s="94">
        <f t="shared" si="28"/>
        <v>0</v>
      </c>
      <c r="R92" s="94">
        <f t="shared" si="28"/>
        <v>1186141</v>
      </c>
      <c r="S92" s="95">
        <f t="shared" si="26"/>
        <v>22818887</v>
      </c>
      <c r="T92" s="81">
        <f t="shared" si="23"/>
        <v>18.45039224038813</v>
      </c>
      <c r="U92" s="96">
        <f>C92-F92-G92-H92</f>
        <v>0</v>
      </c>
    </row>
    <row r="93" spans="1:21" s="99" customFormat="1" ht="15.75" customHeight="1">
      <c r="A93" s="101" t="s">
        <v>196</v>
      </c>
      <c r="B93" s="158" t="s">
        <v>193</v>
      </c>
      <c r="C93" s="157">
        <f>D93+E93</f>
        <v>12328431</v>
      </c>
      <c r="D93" s="157">
        <v>10843794</v>
      </c>
      <c r="E93" s="157">
        <v>1484637</v>
      </c>
      <c r="F93" s="157">
        <v>0</v>
      </c>
      <c r="G93" s="157">
        <v>0</v>
      </c>
      <c r="H93" s="157">
        <f>C93-F93-G93</f>
        <v>12328431</v>
      </c>
      <c r="I93" s="157">
        <f>H93-R93</f>
        <v>12169218</v>
      </c>
      <c r="J93" s="157">
        <v>94114</v>
      </c>
      <c r="K93" s="157">
        <v>663862</v>
      </c>
      <c r="L93" s="157"/>
      <c r="M93" s="157">
        <f>I93-J93-K93-N93</f>
        <v>11411242</v>
      </c>
      <c r="N93" s="157"/>
      <c r="O93" s="157"/>
      <c r="P93" s="157"/>
      <c r="Q93" s="157"/>
      <c r="R93" s="157">
        <v>159213</v>
      </c>
      <c r="S93" s="95">
        <f t="shared" si="26"/>
        <v>11570455</v>
      </c>
      <c r="T93" s="81">
        <f t="shared" si="23"/>
        <v>6.228633590095929</v>
      </c>
      <c r="U93" s="99">
        <f>C93-F93-G93-H93</f>
        <v>0</v>
      </c>
    </row>
    <row r="94" spans="1:21" s="99" customFormat="1" ht="15.75" customHeight="1">
      <c r="A94" s="101" t="s">
        <v>197</v>
      </c>
      <c r="B94" s="158" t="s">
        <v>194</v>
      </c>
      <c r="C94" s="157">
        <f>D94+E94</f>
        <v>13138951</v>
      </c>
      <c r="D94" s="157">
        <v>7726844</v>
      </c>
      <c r="E94" s="157">
        <v>5412107</v>
      </c>
      <c r="F94" s="157">
        <v>0</v>
      </c>
      <c r="G94" s="157">
        <v>0</v>
      </c>
      <c r="H94" s="157">
        <f>C94-F94-G94</f>
        <v>13138951</v>
      </c>
      <c r="I94" s="157">
        <f>H94-R94</f>
        <v>12521367</v>
      </c>
      <c r="J94" s="157">
        <v>1519318</v>
      </c>
      <c r="K94" s="157">
        <v>2493980</v>
      </c>
      <c r="L94" s="157"/>
      <c r="M94" s="157">
        <f>I94-J94-K94-N94</f>
        <v>3962703</v>
      </c>
      <c r="N94" s="157">
        <v>4545366</v>
      </c>
      <c r="O94" s="157"/>
      <c r="P94" s="157"/>
      <c r="Q94" s="157"/>
      <c r="R94" s="157">
        <v>617584</v>
      </c>
      <c r="S94" s="95">
        <f t="shared" si="26"/>
        <v>9125653</v>
      </c>
      <c r="T94" s="81">
        <f t="shared" si="23"/>
        <v>32.05159628337705</v>
      </c>
      <c r="U94" s="99">
        <f>C94-F94-G94-H94</f>
        <v>0</v>
      </c>
    </row>
    <row r="95" spans="1:21" s="99" customFormat="1" ht="15.75" customHeight="1">
      <c r="A95" s="101" t="s">
        <v>198</v>
      </c>
      <c r="B95" s="158" t="s">
        <v>195</v>
      </c>
      <c r="C95" s="157">
        <f>D95+E95</f>
        <v>2249059</v>
      </c>
      <c r="D95" s="157">
        <v>961544</v>
      </c>
      <c r="E95" s="157">
        <v>1287515</v>
      </c>
      <c r="F95" s="157">
        <v>3200</v>
      </c>
      <c r="G95" s="157"/>
      <c r="H95" s="157">
        <f>C95-F95-G95</f>
        <v>2245859</v>
      </c>
      <c r="I95" s="157">
        <f>H95-R95</f>
        <v>1836515</v>
      </c>
      <c r="J95" s="157">
        <v>123080</v>
      </c>
      <c r="K95" s="157">
        <v>0</v>
      </c>
      <c r="L95" s="157"/>
      <c r="M95" s="157">
        <f>I95-J95-K95-N95</f>
        <v>1713435</v>
      </c>
      <c r="N95" s="157"/>
      <c r="O95" s="157"/>
      <c r="P95" s="157"/>
      <c r="Q95" s="157"/>
      <c r="R95" s="157">
        <v>409344</v>
      </c>
      <c r="S95" s="95">
        <f t="shared" si="26"/>
        <v>2122779</v>
      </c>
      <c r="T95" s="81">
        <f t="shared" si="23"/>
        <v>6.701823834817576</v>
      </c>
      <c r="U95" s="99">
        <f>C95-F95-G95-H95</f>
        <v>0</v>
      </c>
    </row>
    <row r="96" spans="1:22" s="96" customFormat="1" ht="15.75" customHeight="1">
      <c r="A96" s="93">
        <v>13</v>
      </c>
      <c r="B96" s="170" t="s">
        <v>149</v>
      </c>
      <c r="C96" s="95">
        <f>SUM(C97:C107)</f>
        <v>447046799</v>
      </c>
      <c r="D96" s="95">
        <f>SUM(D97:D107)</f>
        <v>394283023</v>
      </c>
      <c r="E96" s="95">
        <f aca="true" t="shared" si="29" ref="E96:R96">SUM(E97:E107)</f>
        <v>52763776</v>
      </c>
      <c r="F96" s="95">
        <f t="shared" si="29"/>
        <v>3200</v>
      </c>
      <c r="G96" s="95">
        <f t="shared" si="29"/>
        <v>4538443</v>
      </c>
      <c r="H96" s="95">
        <f t="shared" si="29"/>
        <v>447043599</v>
      </c>
      <c r="I96" s="95">
        <f t="shared" si="29"/>
        <v>426483198</v>
      </c>
      <c r="J96" s="95">
        <f t="shared" si="29"/>
        <v>8249089</v>
      </c>
      <c r="K96" s="95">
        <f t="shared" si="29"/>
        <v>3577872</v>
      </c>
      <c r="L96" s="95">
        <f t="shared" si="29"/>
        <v>0</v>
      </c>
      <c r="M96" s="95">
        <f t="shared" si="29"/>
        <v>414656237</v>
      </c>
      <c r="N96" s="95">
        <f t="shared" si="29"/>
        <v>0</v>
      </c>
      <c r="O96" s="95">
        <f t="shared" si="29"/>
        <v>0</v>
      </c>
      <c r="P96" s="95">
        <f t="shared" si="29"/>
        <v>0</v>
      </c>
      <c r="Q96" s="95">
        <f t="shared" si="29"/>
        <v>0</v>
      </c>
      <c r="R96" s="95">
        <f t="shared" si="29"/>
        <v>20560401</v>
      </c>
      <c r="S96" s="95">
        <f t="shared" si="26"/>
        <v>435216638</v>
      </c>
      <c r="T96" s="81">
        <f t="shared" si="23"/>
        <v>2.773136446045877</v>
      </c>
      <c r="U96" s="96">
        <f>C96-F96-H96</f>
        <v>0</v>
      </c>
      <c r="V96" s="96">
        <f>D96-398821466</f>
        <v>-4538443</v>
      </c>
    </row>
    <row r="97" spans="1:21" s="99" customFormat="1" ht="15.75" customHeight="1">
      <c r="A97" s="87" t="s">
        <v>255</v>
      </c>
      <c r="B97" s="165" t="s">
        <v>150</v>
      </c>
      <c r="C97" s="143">
        <f>D97+E97</f>
        <v>43662240</v>
      </c>
      <c r="D97" s="143">
        <v>657558</v>
      </c>
      <c r="E97" s="143">
        <v>43004682</v>
      </c>
      <c r="F97" s="143">
        <v>0</v>
      </c>
      <c r="G97" s="143">
        <v>0</v>
      </c>
      <c r="H97" s="143">
        <f>I97+R97</f>
        <v>43662240</v>
      </c>
      <c r="I97" s="143">
        <f>J97+K97+L97+M97+N97+O97+P97+Q97</f>
        <v>43658426</v>
      </c>
      <c r="J97" s="143">
        <v>248768</v>
      </c>
      <c r="K97" s="143">
        <v>0</v>
      </c>
      <c r="L97" s="143"/>
      <c r="M97" s="143">
        <v>43409658</v>
      </c>
      <c r="N97" s="143"/>
      <c r="O97" s="143"/>
      <c r="P97" s="143"/>
      <c r="Q97" s="143"/>
      <c r="R97" s="144">
        <v>3814</v>
      </c>
      <c r="S97" s="95">
        <f t="shared" si="26"/>
        <v>43413472</v>
      </c>
      <c r="T97" s="81">
        <f t="shared" si="23"/>
        <v>0.5698052421770772</v>
      </c>
      <c r="U97" s="99">
        <f aca="true" t="shared" si="30" ref="U97:U102">C97-F97-H97</f>
        <v>0</v>
      </c>
    </row>
    <row r="98" spans="1:21" s="99" customFormat="1" ht="15.75" customHeight="1">
      <c r="A98" s="87" t="s">
        <v>256</v>
      </c>
      <c r="B98" s="165" t="s">
        <v>211</v>
      </c>
      <c r="C98" s="143">
        <f aca="true" t="shared" si="31" ref="C98:C107">D98+E98</f>
        <v>49919394</v>
      </c>
      <c r="D98" s="143">
        <v>49197224</v>
      </c>
      <c r="E98" s="143">
        <v>722170</v>
      </c>
      <c r="F98" s="143">
        <v>0</v>
      </c>
      <c r="G98" s="143">
        <v>0</v>
      </c>
      <c r="H98" s="143">
        <f aca="true" t="shared" si="32" ref="H98:H107">I98+R98</f>
        <v>49919394</v>
      </c>
      <c r="I98" s="143">
        <f aca="true" t="shared" si="33" ref="I98:I107">J98+K98+L98+M98+N98+O98+P98+Q98</f>
        <v>44029786</v>
      </c>
      <c r="J98" s="143">
        <v>837312</v>
      </c>
      <c r="K98" s="143">
        <v>913952</v>
      </c>
      <c r="L98" s="143"/>
      <c r="M98" s="143">
        <v>42278522</v>
      </c>
      <c r="N98" s="143"/>
      <c r="O98" s="143"/>
      <c r="P98" s="143"/>
      <c r="Q98" s="143"/>
      <c r="R98" s="144">
        <v>5889608</v>
      </c>
      <c r="S98" s="95">
        <f t="shared" si="26"/>
        <v>48168130</v>
      </c>
      <c r="T98" s="81">
        <f t="shared" si="23"/>
        <v>3.977452899725654</v>
      </c>
      <c r="U98" s="99">
        <f t="shared" si="30"/>
        <v>0</v>
      </c>
    </row>
    <row r="99" spans="1:21" s="99" customFormat="1" ht="15.75" customHeight="1">
      <c r="A99" s="87" t="s">
        <v>257</v>
      </c>
      <c r="B99" s="165" t="s">
        <v>151</v>
      </c>
      <c r="C99" s="143">
        <f t="shared" si="31"/>
        <v>79028853</v>
      </c>
      <c r="D99" s="143">
        <v>76222855</v>
      </c>
      <c r="E99" s="143">
        <v>2805998</v>
      </c>
      <c r="F99" s="143">
        <v>0</v>
      </c>
      <c r="G99" s="143">
        <v>0</v>
      </c>
      <c r="H99" s="143">
        <f t="shared" si="32"/>
        <v>79028853</v>
      </c>
      <c r="I99" s="143">
        <f t="shared" si="33"/>
        <v>75267871</v>
      </c>
      <c r="J99" s="143">
        <v>3759112</v>
      </c>
      <c r="K99" s="143">
        <v>2643140</v>
      </c>
      <c r="L99" s="143"/>
      <c r="M99" s="143">
        <v>68865619</v>
      </c>
      <c r="N99" s="143"/>
      <c r="O99" s="143"/>
      <c r="P99" s="143"/>
      <c r="Q99" s="143"/>
      <c r="R99" s="144">
        <v>3760982</v>
      </c>
      <c r="S99" s="95">
        <f t="shared" si="26"/>
        <v>72626601</v>
      </c>
      <c r="T99" s="81">
        <f t="shared" si="23"/>
        <v>8.505956014087339</v>
      </c>
      <c r="U99" s="99">
        <f t="shared" si="30"/>
        <v>0</v>
      </c>
    </row>
    <row r="100" spans="1:21" s="99" customFormat="1" ht="15.75" customHeight="1">
      <c r="A100" s="87" t="s">
        <v>258</v>
      </c>
      <c r="B100" s="166" t="s">
        <v>152</v>
      </c>
      <c r="C100" s="143">
        <f t="shared" si="31"/>
        <v>62257262</v>
      </c>
      <c r="D100" s="143">
        <v>61558488</v>
      </c>
      <c r="E100" s="143">
        <v>698774</v>
      </c>
      <c r="F100" s="143">
        <v>0</v>
      </c>
      <c r="G100" s="143">
        <v>0</v>
      </c>
      <c r="H100" s="143">
        <f t="shared" si="32"/>
        <v>62257262</v>
      </c>
      <c r="I100" s="143">
        <f t="shared" si="33"/>
        <v>60994551</v>
      </c>
      <c r="J100" s="143">
        <v>936495</v>
      </c>
      <c r="K100" s="143">
        <v>0</v>
      </c>
      <c r="L100" s="143"/>
      <c r="M100" s="143">
        <v>60058056</v>
      </c>
      <c r="N100" s="143"/>
      <c r="O100" s="143"/>
      <c r="P100" s="143"/>
      <c r="Q100" s="150"/>
      <c r="R100" s="144">
        <v>1262711</v>
      </c>
      <c r="S100" s="95">
        <f t="shared" si="26"/>
        <v>61320767</v>
      </c>
      <c r="T100" s="81">
        <f t="shared" si="23"/>
        <v>1.53537485668187</v>
      </c>
      <c r="U100" s="99">
        <f t="shared" si="30"/>
        <v>0</v>
      </c>
    </row>
    <row r="101" spans="1:22" s="99" customFormat="1" ht="15.75" customHeight="1">
      <c r="A101" s="87" t="s">
        <v>259</v>
      </c>
      <c r="B101" s="167" t="s">
        <v>212</v>
      </c>
      <c r="C101" s="143">
        <f t="shared" si="31"/>
        <v>37141920</v>
      </c>
      <c r="D101" s="143">
        <f>39212596-4538443</f>
        <v>34674153</v>
      </c>
      <c r="E101" s="143">
        <v>2467767</v>
      </c>
      <c r="F101" s="143">
        <v>0</v>
      </c>
      <c r="G101" s="143">
        <v>4538443</v>
      </c>
      <c r="H101" s="143">
        <f t="shared" si="32"/>
        <v>37141920</v>
      </c>
      <c r="I101" s="143">
        <f>J101+K101+L101+M101+N101+O101+P101+Q101</f>
        <v>36414713</v>
      </c>
      <c r="J101" s="143">
        <v>97975</v>
      </c>
      <c r="K101" s="143">
        <v>0</v>
      </c>
      <c r="L101" s="143"/>
      <c r="M101" s="143">
        <v>36316738</v>
      </c>
      <c r="N101" s="143"/>
      <c r="O101" s="143"/>
      <c r="P101" s="143"/>
      <c r="Q101" s="143"/>
      <c r="R101" s="144">
        <v>727207</v>
      </c>
      <c r="S101" s="95">
        <f t="shared" si="26"/>
        <v>37043945</v>
      </c>
      <c r="T101" s="81">
        <f t="shared" si="23"/>
        <v>0.2690533356668224</v>
      </c>
      <c r="U101" s="99">
        <f t="shared" si="30"/>
        <v>0</v>
      </c>
      <c r="V101" s="99">
        <f>G96+G70+G62</f>
        <v>13759014</v>
      </c>
    </row>
    <row r="102" spans="1:21" s="99" customFormat="1" ht="15.75" customHeight="1">
      <c r="A102" s="87" t="s">
        <v>260</v>
      </c>
      <c r="B102" s="167" t="s">
        <v>153</v>
      </c>
      <c r="C102" s="143">
        <f t="shared" si="31"/>
        <v>48077277</v>
      </c>
      <c r="D102" s="143">
        <v>47373610</v>
      </c>
      <c r="E102" s="143">
        <v>703667</v>
      </c>
      <c r="F102" s="143">
        <v>0</v>
      </c>
      <c r="G102" s="143">
        <v>0</v>
      </c>
      <c r="H102" s="143">
        <f t="shared" si="32"/>
        <v>48077277</v>
      </c>
      <c r="I102" s="143">
        <f t="shared" si="33"/>
        <v>45498954</v>
      </c>
      <c r="J102" s="143">
        <v>692659</v>
      </c>
      <c r="K102" s="143">
        <v>14400</v>
      </c>
      <c r="L102" s="143"/>
      <c r="M102" s="143">
        <v>44791895</v>
      </c>
      <c r="N102" s="143"/>
      <c r="O102" s="143"/>
      <c r="P102" s="143"/>
      <c r="Q102" s="143"/>
      <c r="R102" s="144">
        <v>2578323</v>
      </c>
      <c r="S102" s="95">
        <f t="shared" si="26"/>
        <v>47370218</v>
      </c>
      <c r="T102" s="81">
        <f t="shared" si="23"/>
        <v>1.5540115493644096</v>
      </c>
      <c r="U102" s="99">
        <f t="shared" si="30"/>
        <v>0</v>
      </c>
    </row>
    <row r="103" spans="1:21" s="99" customFormat="1" ht="15.75" customHeight="1">
      <c r="A103" s="87" t="s">
        <v>261</v>
      </c>
      <c r="B103" s="167" t="s">
        <v>154</v>
      </c>
      <c r="C103" s="143">
        <f t="shared" si="31"/>
        <v>24398653</v>
      </c>
      <c r="D103" s="143">
        <v>24385350</v>
      </c>
      <c r="E103" s="143">
        <v>13303</v>
      </c>
      <c r="F103" s="143">
        <v>0</v>
      </c>
      <c r="G103" s="143">
        <v>0</v>
      </c>
      <c r="H103" s="143">
        <f t="shared" si="32"/>
        <v>24398653</v>
      </c>
      <c r="I103" s="143">
        <f t="shared" si="33"/>
        <v>23199754</v>
      </c>
      <c r="J103" s="143">
        <v>772602</v>
      </c>
      <c r="K103" s="143">
        <v>0</v>
      </c>
      <c r="L103" s="143"/>
      <c r="M103" s="143">
        <v>22427152</v>
      </c>
      <c r="N103" s="143"/>
      <c r="O103" s="143"/>
      <c r="P103" s="143"/>
      <c r="Q103" s="143"/>
      <c r="R103" s="144">
        <v>1198899</v>
      </c>
      <c r="S103" s="95">
        <f t="shared" si="26"/>
        <v>23626051</v>
      </c>
      <c r="T103" s="81">
        <f t="shared" si="23"/>
        <v>3.330216346259533</v>
      </c>
      <c r="U103" s="99">
        <f t="shared" si="24"/>
        <v>0</v>
      </c>
    </row>
    <row r="104" spans="1:21" s="99" customFormat="1" ht="15.75" customHeight="1">
      <c r="A104" s="87" t="s">
        <v>262</v>
      </c>
      <c r="B104" s="165" t="s">
        <v>155</v>
      </c>
      <c r="C104" s="143">
        <f t="shared" si="31"/>
        <v>46595831</v>
      </c>
      <c r="D104" s="143">
        <v>46446212</v>
      </c>
      <c r="E104" s="143">
        <v>149619</v>
      </c>
      <c r="F104" s="143">
        <v>0</v>
      </c>
      <c r="G104" s="143">
        <v>0</v>
      </c>
      <c r="H104" s="143">
        <f t="shared" si="32"/>
        <v>46595831</v>
      </c>
      <c r="I104" s="143">
        <f t="shared" si="33"/>
        <v>45205692</v>
      </c>
      <c r="J104" s="143">
        <v>696185</v>
      </c>
      <c r="K104" s="143">
        <v>0</v>
      </c>
      <c r="L104" s="143"/>
      <c r="M104" s="143">
        <v>44509507</v>
      </c>
      <c r="N104" s="143"/>
      <c r="O104" s="143"/>
      <c r="P104" s="143"/>
      <c r="Q104" s="143"/>
      <c r="R104" s="144">
        <v>1390139</v>
      </c>
      <c r="S104" s="95">
        <f t="shared" si="26"/>
        <v>45899646</v>
      </c>
      <c r="T104" s="81">
        <f t="shared" si="23"/>
        <v>1.5400383650802203</v>
      </c>
      <c r="U104" s="99">
        <f aca="true" t="shared" si="34" ref="U104:U115">C104-F104-G104-H104</f>
        <v>0</v>
      </c>
    </row>
    <row r="105" spans="1:21" s="99" customFormat="1" ht="15.75" customHeight="1">
      <c r="A105" s="87" t="s">
        <v>263</v>
      </c>
      <c r="B105" s="165" t="s">
        <v>213</v>
      </c>
      <c r="C105" s="143">
        <f t="shared" si="31"/>
        <v>11158846</v>
      </c>
      <c r="D105" s="143">
        <v>9217670</v>
      </c>
      <c r="E105" s="143">
        <v>1941176</v>
      </c>
      <c r="F105" s="143">
        <v>3200</v>
      </c>
      <c r="G105" s="143">
        <v>0</v>
      </c>
      <c r="H105" s="143">
        <f t="shared" si="32"/>
        <v>11155646</v>
      </c>
      <c r="I105" s="143">
        <f t="shared" si="33"/>
        <v>9453895</v>
      </c>
      <c r="J105" s="143">
        <v>1200</v>
      </c>
      <c r="K105" s="143">
        <v>4730</v>
      </c>
      <c r="L105" s="143"/>
      <c r="M105" s="143">
        <v>9447965</v>
      </c>
      <c r="N105" s="143"/>
      <c r="O105" s="143"/>
      <c r="P105" s="143"/>
      <c r="Q105" s="143"/>
      <c r="R105" s="144">
        <v>1701751</v>
      </c>
      <c r="S105" s="95">
        <f t="shared" si="26"/>
        <v>11149716</v>
      </c>
      <c r="T105" s="81">
        <f t="shared" si="23"/>
        <v>0.06272546923781151</v>
      </c>
      <c r="U105" s="99">
        <f t="shared" si="34"/>
        <v>0</v>
      </c>
    </row>
    <row r="106" spans="1:21" s="99" customFormat="1" ht="15.75" customHeight="1">
      <c r="A106" s="87" t="s">
        <v>264</v>
      </c>
      <c r="B106" s="165" t="s">
        <v>214</v>
      </c>
      <c r="C106" s="143">
        <f t="shared" si="31"/>
        <v>35363351</v>
      </c>
      <c r="D106" s="143">
        <v>35184760</v>
      </c>
      <c r="E106" s="143">
        <v>178591</v>
      </c>
      <c r="F106" s="143">
        <v>0</v>
      </c>
      <c r="G106" s="143">
        <v>0</v>
      </c>
      <c r="H106" s="143">
        <f t="shared" si="32"/>
        <v>35363351</v>
      </c>
      <c r="I106" s="143">
        <f t="shared" si="33"/>
        <v>34198540</v>
      </c>
      <c r="J106" s="143">
        <v>136613</v>
      </c>
      <c r="K106" s="143">
        <v>0</v>
      </c>
      <c r="L106" s="143"/>
      <c r="M106" s="143">
        <v>34061927</v>
      </c>
      <c r="N106" s="143"/>
      <c r="O106" s="143"/>
      <c r="P106" s="143"/>
      <c r="Q106" s="143"/>
      <c r="R106" s="144">
        <v>1164811</v>
      </c>
      <c r="S106" s="95">
        <f t="shared" si="26"/>
        <v>35226738</v>
      </c>
      <c r="T106" s="81">
        <f t="shared" si="23"/>
        <v>0.3994702697834469</v>
      </c>
      <c r="U106" s="99">
        <f t="shared" si="34"/>
        <v>0</v>
      </c>
    </row>
    <row r="107" spans="1:21" s="99" customFormat="1" ht="15.75" customHeight="1">
      <c r="A107" s="87" t="s">
        <v>265</v>
      </c>
      <c r="B107" s="165" t="s">
        <v>106</v>
      </c>
      <c r="C107" s="143">
        <f t="shared" si="31"/>
        <v>9443172</v>
      </c>
      <c r="D107" s="143">
        <v>9365143</v>
      </c>
      <c r="E107" s="143">
        <v>78029</v>
      </c>
      <c r="F107" s="143">
        <v>0</v>
      </c>
      <c r="G107" s="143">
        <v>0</v>
      </c>
      <c r="H107" s="143">
        <f t="shared" si="32"/>
        <v>9443172</v>
      </c>
      <c r="I107" s="143">
        <f t="shared" si="33"/>
        <v>8561016</v>
      </c>
      <c r="J107" s="143">
        <v>70168</v>
      </c>
      <c r="K107" s="143">
        <v>1650</v>
      </c>
      <c r="L107" s="143"/>
      <c r="M107" s="143">
        <v>8489198</v>
      </c>
      <c r="N107" s="143"/>
      <c r="O107" s="143"/>
      <c r="P107" s="143"/>
      <c r="Q107" s="143"/>
      <c r="R107" s="144">
        <v>882156</v>
      </c>
      <c r="S107" s="95">
        <f t="shared" si="26"/>
        <v>9371354</v>
      </c>
      <c r="T107" s="81">
        <f t="shared" si="23"/>
        <v>0.8388957572325528</v>
      </c>
      <c r="U107" s="99">
        <f t="shared" si="34"/>
        <v>0</v>
      </c>
    </row>
    <row r="108" spans="1:21" s="96" customFormat="1" ht="15.75" customHeight="1">
      <c r="A108" s="93">
        <v>14</v>
      </c>
      <c r="B108" s="170" t="s">
        <v>156</v>
      </c>
      <c r="C108" s="95">
        <f aca="true" t="shared" si="35" ref="C108:R108">SUM(C109:C110)</f>
        <v>14897316</v>
      </c>
      <c r="D108" s="95">
        <f t="shared" si="35"/>
        <v>11138374</v>
      </c>
      <c r="E108" s="95">
        <f t="shared" si="35"/>
        <v>3758942</v>
      </c>
      <c r="F108" s="95">
        <f t="shared" si="35"/>
        <v>615776</v>
      </c>
      <c r="G108" s="95">
        <f t="shared" si="35"/>
        <v>0</v>
      </c>
      <c r="H108" s="95">
        <f t="shared" si="35"/>
        <v>14281540</v>
      </c>
      <c r="I108" s="95">
        <f t="shared" si="35"/>
        <v>7193330</v>
      </c>
      <c r="J108" s="95">
        <f t="shared" si="35"/>
        <v>351338</v>
      </c>
      <c r="K108" s="95">
        <f t="shared" si="35"/>
        <v>0</v>
      </c>
      <c r="L108" s="95">
        <f t="shared" si="35"/>
        <v>0</v>
      </c>
      <c r="M108" s="95">
        <f t="shared" si="35"/>
        <v>6841992</v>
      </c>
      <c r="N108" s="95">
        <f t="shared" si="35"/>
        <v>0</v>
      </c>
      <c r="O108" s="95">
        <f t="shared" si="35"/>
        <v>0</v>
      </c>
      <c r="P108" s="95">
        <f t="shared" si="35"/>
        <v>0</v>
      </c>
      <c r="Q108" s="95">
        <f t="shared" si="35"/>
        <v>0</v>
      </c>
      <c r="R108" s="95">
        <f t="shared" si="35"/>
        <v>7088210</v>
      </c>
      <c r="S108" s="95">
        <f t="shared" si="26"/>
        <v>13930202</v>
      </c>
      <c r="T108" s="81">
        <f t="shared" si="23"/>
        <v>4.884219130778096</v>
      </c>
      <c r="U108" s="96">
        <f t="shared" si="34"/>
        <v>0</v>
      </c>
    </row>
    <row r="109" spans="1:21" s="99" customFormat="1" ht="15.75" customHeight="1">
      <c r="A109" s="87" t="s">
        <v>157</v>
      </c>
      <c r="B109" s="141" t="s">
        <v>158</v>
      </c>
      <c r="C109" s="88">
        <f>D109+E109</f>
        <v>7764463</v>
      </c>
      <c r="D109" s="88">
        <v>6111241</v>
      </c>
      <c r="E109" s="88">
        <v>1653222</v>
      </c>
      <c r="F109" s="88">
        <v>0</v>
      </c>
      <c r="G109" s="88">
        <v>0</v>
      </c>
      <c r="H109" s="88">
        <f>I109+R109</f>
        <v>7764463</v>
      </c>
      <c r="I109" s="88">
        <f>SUM(J109,K109,L109,M109,N109,O109,P109,Q109)</f>
        <v>1994486</v>
      </c>
      <c r="J109" s="88">
        <v>60972</v>
      </c>
      <c r="K109" s="88">
        <v>0</v>
      </c>
      <c r="L109" s="88">
        <v>0</v>
      </c>
      <c r="M109" s="88">
        <v>1933514</v>
      </c>
      <c r="N109" s="88">
        <v>0</v>
      </c>
      <c r="O109" s="91">
        <v>0</v>
      </c>
      <c r="P109" s="168">
        <v>0</v>
      </c>
      <c r="Q109" s="91">
        <v>0</v>
      </c>
      <c r="R109" s="169">
        <v>5769977</v>
      </c>
      <c r="S109" s="95">
        <f t="shared" si="26"/>
        <v>7703491</v>
      </c>
      <c r="T109" s="81">
        <f t="shared" si="23"/>
        <v>3.0570282268213465</v>
      </c>
      <c r="U109" s="99">
        <f t="shared" si="34"/>
        <v>0</v>
      </c>
    </row>
    <row r="110" spans="1:21" s="99" customFormat="1" ht="15.75" customHeight="1">
      <c r="A110" s="87" t="s">
        <v>159</v>
      </c>
      <c r="B110" s="141" t="s">
        <v>160</v>
      </c>
      <c r="C110" s="88">
        <f>D110+E110</f>
        <v>7132853</v>
      </c>
      <c r="D110" s="88">
        <v>5027133</v>
      </c>
      <c r="E110" s="88">
        <v>2105720</v>
      </c>
      <c r="F110" s="88">
        <v>615776</v>
      </c>
      <c r="G110" s="88">
        <v>0</v>
      </c>
      <c r="H110" s="88">
        <f>I110+R110</f>
        <v>6517077</v>
      </c>
      <c r="I110" s="88">
        <f>SUM(J110,K110,L110,M110,N110,O110,P110,Q110)</f>
        <v>5198844</v>
      </c>
      <c r="J110" s="88">
        <v>290366</v>
      </c>
      <c r="K110" s="88">
        <v>0</v>
      </c>
      <c r="L110" s="88">
        <v>0</v>
      </c>
      <c r="M110" s="88">
        <v>4908478</v>
      </c>
      <c r="N110" s="88">
        <v>0</v>
      </c>
      <c r="O110" s="91">
        <v>0</v>
      </c>
      <c r="P110" s="168">
        <v>0</v>
      </c>
      <c r="Q110" s="91">
        <v>0</v>
      </c>
      <c r="R110" s="169">
        <v>1318233</v>
      </c>
      <c r="S110" s="95">
        <f t="shared" si="26"/>
        <v>6226711</v>
      </c>
      <c r="T110" s="81">
        <f t="shared" si="23"/>
        <v>5.585203172089796</v>
      </c>
      <c r="U110" s="99">
        <f t="shared" si="34"/>
        <v>0</v>
      </c>
    </row>
    <row r="111" spans="1:21" s="96" customFormat="1" ht="15.75" customHeight="1">
      <c r="A111" s="93">
        <v>15</v>
      </c>
      <c r="B111" s="170" t="s">
        <v>161</v>
      </c>
      <c r="C111" s="95">
        <f>SUM(C112:C115)</f>
        <v>39861966</v>
      </c>
      <c r="D111" s="95">
        <f>SUM(D112:D115)</f>
        <v>16756890</v>
      </c>
      <c r="E111" s="95">
        <f aca="true" t="shared" si="36" ref="E111:R111">SUM(E112:E115)</f>
        <v>23105076</v>
      </c>
      <c r="F111" s="95">
        <f t="shared" si="36"/>
        <v>0</v>
      </c>
      <c r="G111" s="95">
        <f t="shared" si="36"/>
        <v>0</v>
      </c>
      <c r="H111" s="95">
        <f t="shared" si="36"/>
        <v>39861966</v>
      </c>
      <c r="I111" s="95">
        <f t="shared" si="36"/>
        <v>38156256</v>
      </c>
      <c r="J111" s="95">
        <f t="shared" si="36"/>
        <v>128993</v>
      </c>
      <c r="K111" s="95">
        <f t="shared" si="36"/>
        <v>0</v>
      </c>
      <c r="L111" s="95">
        <f t="shared" si="36"/>
        <v>0</v>
      </c>
      <c r="M111" s="95">
        <f t="shared" si="36"/>
        <v>36851718</v>
      </c>
      <c r="N111" s="95">
        <f t="shared" si="36"/>
        <v>305307</v>
      </c>
      <c r="O111" s="95">
        <f t="shared" si="36"/>
        <v>0</v>
      </c>
      <c r="P111" s="95">
        <f t="shared" si="36"/>
        <v>0</v>
      </c>
      <c r="Q111" s="95">
        <f t="shared" si="36"/>
        <v>870238</v>
      </c>
      <c r="R111" s="95">
        <f t="shared" si="36"/>
        <v>1705710</v>
      </c>
      <c r="S111" s="95">
        <f t="shared" si="26"/>
        <v>39732973</v>
      </c>
      <c r="T111" s="81">
        <f t="shared" si="23"/>
        <v>0.33806513930507226</v>
      </c>
      <c r="U111" s="96">
        <f t="shared" si="34"/>
        <v>0</v>
      </c>
    </row>
    <row r="112" spans="1:21" s="99" customFormat="1" ht="15.75" customHeight="1">
      <c r="A112" s="87" t="s">
        <v>251</v>
      </c>
      <c r="B112" s="142" t="s">
        <v>162</v>
      </c>
      <c r="C112" s="88">
        <f>D112+E112</f>
        <v>7076460</v>
      </c>
      <c r="D112" s="88">
        <v>7074260</v>
      </c>
      <c r="E112" s="88">
        <v>2200</v>
      </c>
      <c r="F112" s="88">
        <v>0</v>
      </c>
      <c r="G112" s="88">
        <v>0</v>
      </c>
      <c r="H112" s="88">
        <f>C112-F112</f>
        <v>7076460</v>
      </c>
      <c r="I112" s="88">
        <f>H112-R112</f>
        <v>7058660</v>
      </c>
      <c r="J112" s="88">
        <v>71600</v>
      </c>
      <c r="K112" s="88">
        <v>0</v>
      </c>
      <c r="L112" s="88">
        <v>0</v>
      </c>
      <c r="M112" s="88">
        <f>I112-J112-K112-L112-N112-O112-P112-Q112</f>
        <v>6987060</v>
      </c>
      <c r="N112" s="88">
        <v>0</v>
      </c>
      <c r="O112" s="88">
        <v>0</v>
      </c>
      <c r="P112" s="88">
        <v>0</v>
      </c>
      <c r="Q112" s="91">
        <v>0</v>
      </c>
      <c r="R112" s="100">
        <v>17800</v>
      </c>
      <c r="S112" s="95">
        <f t="shared" si="26"/>
        <v>7004860</v>
      </c>
      <c r="T112" s="81">
        <f t="shared" si="23"/>
        <v>1.0143568325999552</v>
      </c>
      <c r="U112" s="99">
        <f t="shared" si="34"/>
        <v>0</v>
      </c>
    </row>
    <row r="113" spans="1:21" s="99" customFormat="1" ht="15.75" customHeight="1">
      <c r="A113" s="87" t="s">
        <v>252</v>
      </c>
      <c r="B113" s="142" t="s">
        <v>206</v>
      </c>
      <c r="C113" s="88">
        <f>D113+E113</f>
        <v>5503975</v>
      </c>
      <c r="D113" s="88">
        <v>5481803</v>
      </c>
      <c r="E113" s="88">
        <v>22172</v>
      </c>
      <c r="F113" s="88">
        <v>0</v>
      </c>
      <c r="G113" s="88">
        <v>0</v>
      </c>
      <c r="H113" s="88">
        <f>C113-F113</f>
        <v>5503975</v>
      </c>
      <c r="I113" s="88">
        <f>H113-R113</f>
        <v>4797421</v>
      </c>
      <c r="J113" s="88">
        <v>7236</v>
      </c>
      <c r="K113" s="88">
        <v>0</v>
      </c>
      <c r="L113" s="88">
        <v>0</v>
      </c>
      <c r="M113" s="88">
        <f>I113-J113-K113-L113-N113-O113-P113-Q113</f>
        <v>4790185</v>
      </c>
      <c r="N113" s="88">
        <v>0</v>
      </c>
      <c r="O113" s="88">
        <v>0</v>
      </c>
      <c r="P113" s="88">
        <v>0</v>
      </c>
      <c r="Q113" s="91">
        <v>0</v>
      </c>
      <c r="R113" s="100">
        <v>706554</v>
      </c>
      <c r="S113" s="95">
        <f t="shared" si="26"/>
        <v>5496739</v>
      </c>
      <c r="T113" s="81">
        <f t="shared" si="23"/>
        <v>0.1508310402610069</v>
      </c>
      <c r="U113" s="99">
        <f t="shared" si="34"/>
        <v>0</v>
      </c>
    </row>
    <row r="114" spans="1:21" s="99" customFormat="1" ht="15.75" customHeight="1">
      <c r="A114" s="87" t="s">
        <v>253</v>
      </c>
      <c r="B114" s="142" t="s">
        <v>207</v>
      </c>
      <c r="C114" s="88">
        <f>D114+E114</f>
        <v>25595512</v>
      </c>
      <c r="D114" s="88">
        <v>2661574</v>
      </c>
      <c r="E114" s="88">
        <v>22933938</v>
      </c>
      <c r="F114" s="88">
        <v>0</v>
      </c>
      <c r="G114" s="88">
        <v>0</v>
      </c>
      <c r="H114" s="88">
        <f>C114-F114</f>
        <v>25595512</v>
      </c>
      <c r="I114" s="88">
        <f>H114-R114</f>
        <v>24879004</v>
      </c>
      <c r="J114" s="88">
        <v>3400</v>
      </c>
      <c r="K114" s="88">
        <v>0</v>
      </c>
      <c r="L114" s="88">
        <v>0</v>
      </c>
      <c r="M114" s="88">
        <f>I114-J114-K114-L114-N114-O114-P114-Q114</f>
        <v>23700059</v>
      </c>
      <c r="N114" s="88">
        <v>305307</v>
      </c>
      <c r="O114" s="88">
        <v>0</v>
      </c>
      <c r="P114" s="88">
        <v>0</v>
      </c>
      <c r="Q114" s="91">
        <v>870238</v>
      </c>
      <c r="R114" s="100">
        <v>716508</v>
      </c>
      <c r="S114" s="95">
        <f t="shared" si="26"/>
        <v>25592112</v>
      </c>
      <c r="T114" s="81">
        <f t="shared" si="23"/>
        <v>0.013666141940408869</v>
      </c>
      <c r="U114" s="99">
        <f t="shared" si="34"/>
        <v>0</v>
      </c>
    </row>
    <row r="115" spans="1:21" s="99" customFormat="1" ht="15.75" customHeight="1">
      <c r="A115" s="87" t="s">
        <v>254</v>
      </c>
      <c r="B115" s="142" t="s">
        <v>208</v>
      </c>
      <c r="C115" s="88">
        <f>D115+E115</f>
        <v>1686019</v>
      </c>
      <c r="D115" s="88">
        <v>1539253</v>
      </c>
      <c r="E115" s="88">
        <v>146766</v>
      </c>
      <c r="F115" s="88">
        <v>0</v>
      </c>
      <c r="G115" s="88">
        <v>0</v>
      </c>
      <c r="H115" s="88">
        <f>C115-F115</f>
        <v>1686019</v>
      </c>
      <c r="I115" s="88">
        <f>H115-R115</f>
        <v>1421171</v>
      </c>
      <c r="J115" s="88">
        <v>46757</v>
      </c>
      <c r="K115" s="88">
        <v>0</v>
      </c>
      <c r="L115" s="88">
        <v>0</v>
      </c>
      <c r="M115" s="88">
        <f>I115-J115-K115-L115-N115-O115-P115-Q115</f>
        <v>1374414</v>
      </c>
      <c r="N115" s="88">
        <v>0</v>
      </c>
      <c r="O115" s="88">
        <v>0</v>
      </c>
      <c r="P115" s="88">
        <v>0</v>
      </c>
      <c r="Q115" s="91">
        <v>0</v>
      </c>
      <c r="R115" s="100">
        <v>264848</v>
      </c>
      <c r="S115" s="95">
        <f t="shared" si="26"/>
        <v>1639262</v>
      </c>
      <c r="T115" s="81">
        <f t="shared" si="23"/>
        <v>3.290033359813844</v>
      </c>
      <c r="U115" s="99">
        <f t="shared" si="34"/>
        <v>0</v>
      </c>
    </row>
    <row r="117" spans="1:21" s="97" customFormat="1" ht="14.25" customHeight="1">
      <c r="A117" s="171"/>
      <c r="B117" s="251"/>
      <c r="C117" s="251"/>
      <c r="D117" s="251"/>
      <c r="E117" s="251"/>
      <c r="F117" s="172"/>
      <c r="G117" s="172"/>
      <c r="H117" s="173"/>
      <c r="I117" s="173"/>
      <c r="J117" s="172"/>
      <c r="K117" s="172"/>
      <c r="L117" s="174"/>
      <c r="M117" s="255" t="s">
        <v>278</v>
      </c>
      <c r="N117" s="256"/>
      <c r="O117" s="256"/>
      <c r="P117" s="256"/>
      <c r="Q117" s="256"/>
      <c r="R117" s="256"/>
      <c r="S117" s="256"/>
      <c r="U117" s="98"/>
    </row>
    <row r="118" spans="1:21" s="97" customFormat="1" ht="33.75" customHeight="1">
      <c r="A118" s="171"/>
      <c r="B118" s="253" t="s">
        <v>3</v>
      </c>
      <c r="C118" s="253"/>
      <c r="D118" s="253"/>
      <c r="E118" s="253"/>
      <c r="F118" s="174"/>
      <c r="G118" s="174"/>
      <c r="H118" s="175"/>
      <c r="I118" s="175"/>
      <c r="J118" s="174"/>
      <c r="K118" s="174"/>
      <c r="L118" s="174"/>
      <c r="M118" s="257" t="s">
        <v>277</v>
      </c>
      <c r="N118" s="258"/>
      <c r="O118" s="258"/>
      <c r="P118" s="258"/>
      <c r="Q118" s="258"/>
      <c r="R118" s="258"/>
      <c r="S118" s="258"/>
      <c r="U118" s="98"/>
    </row>
    <row r="119" spans="1:21" s="97" customFormat="1" ht="13.5" customHeight="1">
      <c r="A119" s="171"/>
      <c r="B119" s="254"/>
      <c r="C119" s="254"/>
      <c r="D119" s="254"/>
      <c r="E119" s="254"/>
      <c r="F119" s="177"/>
      <c r="G119" s="177"/>
      <c r="H119" s="178"/>
      <c r="I119" s="178"/>
      <c r="J119" s="177"/>
      <c r="K119" s="177"/>
      <c r="L119" s="177"/>
      <c r="M119" s="259"/>
      <c r="N119" s="259"/>
      <c r="O119" s="259"/>
      <c r="P119" s="259"/>
      <c r="Q119" s="259"/>
      <c r="R119" s="259"/>
      <c r="S119" s="259"/>
      <c r="U119" s="98"/>
    </row>
    <row r="120" spans="1:21" s="97" customFormat="1" ht="15.75">
      <c r="A120" s="171"/>
      <c r="B120" s="179"/>
      <c r="C120" s="180"/>
      <c r="D120" s="178"/>
      <c r="E120" s="177"/>
      <c r="F120" s="177"/>
      <c r="G120" s="177"/>
      <c r="H120" s="178"/>
      <c r="I120" s="178"/>
      <c r="J120" s="177"/>
      <c r="K120" s="177"/>
      <c r="L120" s="177"/>
      <c r="M120" s="177"/>
      <c r="N120" s="176"/>
      <c r="O120" s="176"/>
      <c r="P120" s="176"/>
      <c r="Q120" s="176"/>
      <c r="R120" s="177"/>
      <c r="S120" s="177"/>
      <c r="U120" s="98"/>
    </row>
    <row r="121" spans="1:21" s="97" customFormat="1" ht="15.75">
      <c r="A121" s="171"/>
      <c r="B121" s="171"/>
      <c r="C121" s="178"/>
      <c r="D121" s="178"/>
      <c r="E121" s="177"/>
      <c r="F121" s="177"/>
      <c r="G121" s="177"/>
      <c r="H121" s="178"/>
      <c r="I121" s="178"/>
      <c r="J121" s="177"/>
      <c r="K121" s="177"/>
      <c r="L121" s="177"/>
      <c r="M121" s="177"/>
      <c r="N121" s="177"/>
      <c r="O121" s="177"/>
      <c r="P121" s="177"/>
      <c r="Q121" s="177"/>
      <c r="R121" s="177"/>
      <c r="S121" s="177"/>
      <c r="U121" s="98"/>
    </row>
    <row r="122" spans="1:21" s="97" customFormat="1" ht="15.75">
      <c r="A122" s="171"/>
      <c r="B122" s="171"/>
      <c r="C122" s="178"/>
      <c r="D122" s="178"/>
      <c r="E122" s="177"/>
      <c r="F122" s="177"/>
      <c r="G122" s="177"/>
      <c r="H122" s="178"/>
      <c r="I122" s="178"/>
      <c r="J122" s="177"/>
      <c r="K122" s="177"/>
      <c r="L122" s="177"/>
      <c r="M122" s="177"/>
      <c r="N122" s="177"/>
      <c r="O122" s="177"/>
      <c r="P122" s="177"/>
      <c r="Q122" s="177"/>
      <c r="R122" s="177"/>
      <c r="S122" s="177"/>
      <c r="U122" s="98"/>
    </row>
    <row r="123" spans="1:21" s="97" customFormat="1" ht="15.75">
      <c r="A123" s="171"/>
      <c r="B123" s="171"/>
      <c r="C123" s="178"/>
      <c r="D123" s="178"/>
      <c r="E123" s="177"/>
      <c r="F123" s="177"/>
      <c r="G123" s="177"/>
      <c r="H123" s="178"/>
      <c r="I123" s="178"/>
      <c r="J123" s="177"/>
      <c r="K123" s="177"/>
      <c r="L123" s="177"/>
      <c r="M123" s="177"/>
      <c r="N123" s="177"/>
      <c r="O123" s="177"/>
      <c r="P123" s="177"/>
      <c r="Q123" s="177"/>
      <c r="R123" s="177"/>
      <c r="S123" s="177"/>
      <c r="U123" s="98"/>
    </row>
    <row r="124" spans="1:21" s="97" customFormat="1" ht="15.75">
      <c r="A124" s="171"/>
      <c r="B124" s="171"/>
      <c r="C124" s="178"/>
      <c r="D124" s="178"/>
      <c r="E124" s="177"/>
      <c r="F124" s="177"/>
      <c r="G124" s="177"/>
      <c r="H124" s="178"/>
      <c r="I124" s="178"/>
      <c r="J124" s="177"/>
      <c r="K124" s="177"/>
      <c r="L124" s="177"/>
      <c r="M124" s="177"/>
      <c r="N124" s="177"/>
      <c r="O124" s="177"/>
      <c r="P124" s="177"/>
      <c r="Q124" s="177"/>
      <c r="R124" s="177"/>
      <c r="S124" s="177"/>
      <c r="U124" s="98"/>
    </row>
    <row r="125" spans="1:21" s="97" customFormat="1" ht="15.75">
      <c r="A125" s="171"/>
      <c r="B125" s="252" t="s">
        <v>169</v>
      </c>
      <c r="C125" s="252"/>
      <c r="D125" s="252"/>
      <c r="E125" s="252"/>
      <c r="F125" s="177"/>
      <c r="G125" s="177"/>
      <c r="H125" s="178"/>
      <c r="I125" s="178"/>
      <c r="J125" s="177"/>
      <c r="K125" s="177"/>
      <c r="L125" s="177"/>
      <c r="M125" s="252" t="s">
        <v>82</v>
      </c>
      <c r="N125" s="252"/>
      <c r="O125" s="252"/>
      <c r="P125" s="252"/>
      <c r="Q125" s="252"/>
      <c r="R125" s="252"/>
      <c r="S125" s="252"/>
      <c r="U125" s="98"/>
    </row>
  </sheetData>
  <sheetProtection/>
  <mergeCells count="44">
    <mergeCell ref="B117:E117"/>
    <mergeCell ref="B125:E125"/>
    <mergeCell ref="B118:E118"/>
    <mergeCell ref="B119:E119"/>
    <mergeCell ref="M125:S125"/>
    <mergeCell ref="M117:S117"/>
    <mergeCell ref="M118:S118"/>
    <mergeCell ref="M119:S119"/>
    <mergeCell ref="A12:B12"/>
    <mergeCell ref="Q9:Q10"/>
    <mergeCell ref="K9:K10"/>
    <mergeCell ref="L9:L10"/>
    <mergeCell ref="M9:M10"/>
    <mergeCell ref="T6:T10"/>
    <mergeCell ref="A11:B11"/>
    <mergeCell ref="E9:E10"/>
    <mergeCell ref="C7:C10"/>
    <mergeCell ref="E1:P1"/>
    <mergeCell ref="E2:P2"/>
    <mergeCell ref="H6:R6"/>
    <mergeCell ref="J9:J10"/>
    <mergeCell ref="Q4:T4"/>
    <mergeCell ref="H7:H10"/>
    <mergeCell ref="Q1:T1"/>
    <mergeCell ref="Q3:T3"/>
    <mergeCell ref="R5:T5"/>
    <mergeCell ref="E3:P3"/>
    <mergeCell ref="A2:D2"/>
    <mergeCell ref="A6:B10"/>
    <mergeCell ref="D9:D10"/>
    <mergeCell ref="S6:S10"/>
    <mergeCell ref="P9:P10"/>
    <mergeCell ref="O9:O10"/>
    <mergeCell ref="F6:F10"/>
    <mergeCell ref="G6:G10"/>
    <mergeCell ref="Q2:T2"/>
    <mergeCell ref="D7:E8"/>
    <mergeCell ref="A3:D3"/>
    <mergeCell ref="R7:R10"/>
    <mergeCell ref="I7:Q7"/>
    <mergeCell ref="I8:I10"/>
    <mergeCell ref="J8:Q8"/>
    <mergeCell ref="N9:N10"/>
    <mergeCell ref="C6:E6"/>
  </mergeCells>
  <conditionalFormatting sqref="C90:C91">
    <cfRule type="expression" priority="2" dxfId="0" stopIfTrue="1">
      <formula>$C$21&lt;&gt;$F$21+$H$21</formula>
    </cfRule>
  </conditionalFormatting>
  <conditionalFormatting sqref="C90:C91">
    <cfRule type="expression" priority="1" dxfId="0" stopIfTrue="1">
      <formula>$C$16&lt;&gt;$F$16+$H$16</formula>
    </cfRule>
  </conditionalFormatting>
  <printOptions/>
  <pageMargins left="0.2" right="0" top="0.2" bottom="0" header="0.2" footer="0.2"/>
  <pageSetup horizontalDpi="600" verticalDpi="600" orientation="landscape" paperSize="8" r:id="rId4"/>
  <ignoredErrors>
    <ignoredError sqref="D45:H45 J45:R45 D37 D48 D62 D70 D74:R74 D96 D108" formula="1"/>
    <ignoredError sqref="I45" formula="1" formulaRange="1"/>
  </ignoredErrors>
  <drawing r:id="rId3"/>
  <legacyDrawing r:id="rId2"/>
</worksheet>
</file>

<file path=xl/worksheets/sheet3.xml><?xml version="1.0" encoding="utf-8"?>
<worksheet xmlns="http://schemas.openxmlformats.org/spreadsheetml/2006/main" xmlns:r="http://schemas.openxmlformats.org/officeDocument/2006/relationships">
  <sheetPr>
    <tabColor indexed="19"/>
  </sheetPr>
  <dimension ref="A1:W125"/>
  <sheetViews>
    <sheetView tabSelected="1" zoomScalePageLayoutView="0" workbookViewId="0" topLeftCell="A10">
      <selection activeCell="Q70" sqref="Q70"/>
    </sheetView>
  </sheetViews>
  <sheetFormatPr defaultColWidth="9.00390625" defaultRowHeight="15.75"/>
  <cols>
    <col min="1" max="1" width="4.125" style="27" customWidth="1"/>
    <col min="2" max="2" width="17.50390625" style="27" customWidth="1"/>
    <col min="3" max="3" width="6.125" style="43" customWidth="1"/>
    <col min="4" max="4" width="7.00390625" style="35" customWidth="1"/>
    <col min="5" max="5" width="6.625" style="43" customWidth="1"/>
    <col min="6" max="6" width="6.50390625" style="43" customWidth="1"/>
    <col min="7" max="7" width="6.125" style="43" customWidth="1"/>
    <col min="8" max="8" width="8.375" style="43" customWidth="1"/>
    <col min="9" max="9" width="7.875" style="43" customWidth="1"/>
    <col min="10" max="11" width="6.25390625" style="43" customWidth="1"/>
    <col min="12" max="12" width="6.875" style="43" customWidth="1"/>
    <col min="13" max="13" width="6.375" style="43" customWidth="1"/>
    <col min="14" max="14" width="6.875" style="43" customWidth="1"/>
    <col min="15" max="15" width="5.625" style="43" customWidth="1"/>
    <col min="16" max="16" width="6.25390625" style="43" customWidth="1"/>
    <col min="17" max="17" width="6.625" style="43" customWidth="1"/>
    <col min="18" max="18" width="6.375" style="43" customWidth="1"/>
    <col min="19" max="19" width="6.75390625" style="59" customWidth="1"/>
    <col min="20" max="16384" width="9.00390625" style="27" customWidth="1"/>
  </cols>
  <sheetData>
    <row r="1" spans="1:20" ht="20.25" customHeight="1">
      <c r="A1" s="33" t="s">
        <v>15</v>
      </c>
      <c r="B1" s="33"/>
      <c r="C1" s="34"/>
      <c r="E1" s="271" t="s">
        <v>38</v>
      </c>
      <c r="F1" s="271"/>
      <c r="G1" s="271"/>
      <c r="H1" s="271"/>
      <c r="I1" s="271"/>
      <c r="J1" s="271"/>
      <c r="K1" s="271"/>
      <c r="L1" s="271"/>
      <c r="M1" s="271"/>
      <c r="N1" s="271"/>
      <c r="O1" s="271"/>
      <c r="P1" s="36" t="s">
        <v>170</v>
      </c>
      <c r="Q1" s="36"/>
      <c r="R1" s="36"/>
      <c r="S1" s="37"/>
      <c r="T1" s="38"/>
    </row>
    <row r="2" spans="1:20" ht="17.25" customHeight="1">
      <c r="A2" s="260" t="s">
        <v>79</v>
      </c>
      <c r="B2" s="260"/>
      <c r="C2" s="260"/>
      <c r="D2" s="260"/>
      <c r="E2" s="272" t="s">
        <v>20</v>
      </c>
      <c r="F2" s="272"/>
      <c r="G2" s="272"/>
      <c r="H2" s="272"/>
      <c r="I2" s="272"/>
      <c r="J2" s="272"/>
      <c r="K2" s="272"/>
      <c r="L2" s="272"/>
      <c r="M2" s="272"/>
      <c r="N2" s="272"/>
      <c r="O2" s="272"/>
      <c r="P2" s="267" t="s">
        <v>171</v>
      </c>
      <c r="Q2" s="267"/>
      <c r="R2" s="267"/>
      <c r="S2" s="267"/>
      <c r="T2" s="267"/>
    </row>
    <row r="3" spans="1:20" ht="14.25" customHeight="1">
      <c r="A3" s="260" t="s">
        <v>80</v>
      </c>
      <c r="B3" s="260"/>
      <c r="C3" s="260"/>
      <c r="D3" s="260"/>
      <c r="E3" s="273" t="s">
        <v>269</v>
      </c>
      <c r="F3" s="273"/>
      <c r="G3" s="273"/>
      <c r="H3" s="273"/>
      <c r="I3" s="273"/>
      <c r="J3" s="273"/>
      <c r="K3" s="273"/>
      <c r="L3" s="273"/>
      <c r="M3" s="273"/>
      <c r="N3" s="273"/>
      <c r="O3" s="273"/>
      <c r="P3" s="267" t="s">
        <v>164</v>
      </c>
      <c r="Q3" s="267"/>
      <c r="R3" s="267"/>
      <c r="S3" s="267"/>
      <c r="T3" s="267"/>
    </row>
    <row r="4" spans="1:20" ht="14.25" customHeight="1">
      <c r="A4" s="33" t="s">
        <v>66</v>
      </c>
      <c r="B4" s="33"/>
      <c r="C4" s="34"/>
      <c r="D4" s="39"/>
      <c r="E4" s="34"/>
      <c r="F4" s="34"/>
      <c r="G4" s="34"/>
      <c r="H4" s="34"/>
      <c r="I4" s="34"/>
      <c r="J4" s="34"/>
      <c r="K4" s="34"/>
      <c r="L4" s="34"/>
      <c r="M4" s="34"/>
      <c r="N4" s="40"/>
      <c r="O4" s="40"/>
      <c r="P4" s="267" t="s">
        <v>165</v>
      </c>
      <c r="Q4" s="267"/>
      <c r="R4" s="267"/>
      <c r="S4" s="267"/>
      <c r="T4" s="267"/>
    </row>
    <row r="5" spans="2:20" ht="12.75" customHeight="1">
      <c r="B5" s="41"/>
      <c r="C5" s="42"/>
      <c r="P5" s="44" t="s">
        <v>166</v>
      </c>
      <c r="Q5" s="44"/>
      <c r="R5" s="44"/>
      <c r="S5" s="45"/>
      <c r="T5" s="46"/>
    </row>
    <row r="6" spans="1:19" ht="22.5" customHeight="1">
      <c r="A6" s="287" t="s">
        <v>33</v>
      </c>
      <c r="B6" s="288"/>
      <c r="C6" s="305" t="s">
        <v>67</v>
      </c>
      <c r="D6" s="307"/>
      <c r="E6" s="308"/>
      <c r="F6" s="274" t="s">
        <v>51</v>
      </c>
      <c r="G6" s="268" t="s">
        <v>68</v>
      </c>
      <c r="H6" s="277" t="s">
        <v>52</v>
      </c>
      <c r="I6" s="278"/>
      <c r="J6" s="278"/>
      <c r="K6" s="278"/>
      <c r="L6" s="278"/>
      <c r="M6" s="278"/>
      <c r="N6" s="278"/>
      <c r="O6" s="278"/>
      <c r="P6" s="278"/>
      <c r="Q6" s="279"/>
      <c r="R6" s="265" t="s">
        <v>175</v>
      </c>
      <c r="S6" s="297" t="s">
        <v>69</v>
      </c>
    </row>
    <row r="7" spans="1:23" s="29" customFormat="1" ht="16.5" customHeight="1">
      <c r="A7" s="289"/>
      <c r="B7" s="290"/>
      <c r="C7" s="265" t="s">
        <v>23</v>
      </c>
      <c r="D7" s="261" t="s">
        <v>5</v>
      </c>
      <c r="E7" s="262"/>
      <c r="F7" s="275"/>
      <c r="G7" s="276"/>
      <c r="H7" s="268" t="s">
        <v>18</v>
      </c>
      <c r="I7" s="261" t="s">
        <v>53</v>
      </c>
      <c r="J7" s="300"/>
      <c r="K7" s="300"/>
      <c r="L7" s="300"/>
      <c r="M7" s="300"/>
      <c r="N7" s="300"/>
      <c r="O7" s="300"/>
      <c r="P7" s="301"/>
      <c r="Q7" s="262" t="s">
        <v>70</v>
      </c>
      <c r="R7" s="276"/>
      <c r="S7" s="298"/>
      <c r="T7" s="28"/>
      <c r="U7" s="28"/>
      <c r="V7" s="28"/>
      <c r="W7" s="28"/>
    </row>
    <row r="8" spans="1:19" ht="15.75" customHeight="1">
      <c r="A8" s="289"/>
      <c r="B8" s="290"/>
      <c r="C8" s="276"/>
      <c r="D8" s="263"/>
      <c r="E8" s="264"/>
      <c r="F8" s="275"/>
      <c r="G8" s="276"/>
      <c r="H8" s="276"/>
      <c r="I8" s="268" t="s">
        <v>18</v>
      </c>
      <c r="J8" s="280" t="s">
        <v>5</v>
      </c>
      <c r="K8" s="281"/>
      <c r="L8" s="281"/>
      <c r="M8" s="281"/>
      <c r="N8" s="281"/>
      <c r="O8" s="281"/>
      <c r="P8" s="282"/>
      <c r="Q8" s="270"/>
      <c r="R8" s="276"/>
      <c r="S8" s="298"/>
    </row>
    <row r="9" spans="1:19" ht="15.75" customHeight="1">
      <c r="A9" s="289"/>
      <c r="B9" s="290"/>
      <c r="C9" s="276"/>
      <c r="D9" s="294" t="s">
        <v>71</v>
      </c>
      <c r="E9" s="265" t="s">
        <v>72</v>
      </c>
      <c r="F9" s="275"/>
      <c r="G9" s="276"/>
      <c r="H9" s="276"/>
      <c r="I9" s="276"/>
      <c r="J9" s="282" t="s">
        <v>73</v>
      </c>
      <c r="K9" s="302" t="s">
        <v>74</v>
      </c>
      <c r="L9" s="269" t="s">
        <v>55</v>
      </c>
      <c r="M9" s="268" t="s">
        <v>75</v>
      </c>
      <c r="N9" s="268" t="s">
        <v>57</v>
      </c>
      <c r="O9" s="268" t="s">
        <v>176</v>
      </c>
      <c r="P9" s="268" t="s">
        <v>60</v>
      </c>
      <c r="Q9" s="270"/>
      <c r="R9" s="276"/>
      <c r="S9" s="298"/>
    </row>
    <row r="10" spans="1:19" ht="60.75" customHeight="1">
      <c r="A10" s="291"/>
      <c r="B10" s="292"/>
      <c r="C10" s="266"/>
      <c r="D10" s="295"/>
      <c r="E10" s="266"/>
      <c r="F10" s="263"/>
      <c r="G10" s="266"/>
      <c r="H10" s="266"/>
      <c r="I10" s="266"/>
      <c r="J10" s="282"/>
      <c r="K10" s="302"/>
      <c r="L10" s="269"/>
      <c r="M10" s="266"/>
      <c r="N10" s="266" t="s">
        <v>57</v>
      </c>
      <c r="O10" s="266" t="s">
        <v>176</v>
      </c>
      <c r="P10" s="266" t="s">
        <v>60</v>
      </c>
      <c r="Q10" s="264"/>
      <c r="R10" s="266"/>
      <c r="S10" s="299"/>
    </row>
    <row r="11" spans="1:19" ht="11.25" customHeight="1">
      <c r="A11" s="305" t="s">
        <v>4</v>
      </c>
      <c r="B11" s="306"/>
      <c r="C11" s="47">
        <v>1</v>
      </c>
      <c r="D11" s="48">
        <v>2</v>
      </c>
      <c r="E11" s="47">
        <v>3</v>
      </c>
      <c r="F11" s="47">
        <v>4</v>
      </c>
      <c r="G11" s="47">
        <v>5</v>
      </c>
      <c r="H11" s="47">
        <v>6</v>
      </c>
      <c r="I11" s="47">
        <v>7</v>
      </c>
      <c r="J11" s="47">
        <v>8</v>
      </c>
      <c r="K11" s="47">
        <v>9</v>
      </c>
      <c r="L11" s="47">
        <v>10</v>
      </c>
      <c r="M11" s="47">
        <v>11</v>
      </c>
      <c r="N11" s="47">
        <v>12</v>
      </c>
      <c r="O11" s="47">
        <v>13</v>
      </c>
      <c r="P11" s="47">
        <v>14</v>
      </c>
      <c r="Q11" s="47">
        <v>15</v>
      </c>
      <c r="R11" s="47">
        <v>16</v>
      </c>
      <c r="S11" s="49">
        <v>17</v>
      </c>
    </row>
    <row r="12" spans="1:21" s="115" customFormat="1" ht="17.25" customHeight="1">
      <c r="A12" s="285" t="s">
        <v>17</v>
      </c>
      <c r="B12" s="286"/>
      <c r="C12" s="127">
        <f aca="true" t="shared" si="0" ref="C12:R12">C13+C31</f>
        <v>9738</v>
      </c>
      <c r="D12" s="127">
        <f t="shared" si="0"/>
        <v>8049</v>
      </c>
      <c r="E12" s="127">
        <f t="shared" si="0"/>
        <v>1689</v>
      </c>
      <c r="F12" s="127">
        <f t="shared" si="0"/>
        <v>23</v>
      </c>
      <c r="G12" s="127">
        <f t="shared" si="0"/>
        <v>4</v>
      </c>
      <c r="H12" s="127">
        <f t="shared" si="0"/>
        <v>9715</v>
      </c>
      <c r="I12" s="127">
        <f t="shared" si="0"/>
        <v>4412</v>
      </c>
      <c r="J12" s="127">
        <f t="shared" si="0"/>
        <v>889</v>
      </c>
      <c r="K12" s="127">
        <f t="shared" si="0"/>
        <v>67</v>
      </c>
      <c r="L12" s="127">
        <f t="shared" si="0"/>
        <v>3412</v>
      </c>
      <c r="M12" s="127">
        <f t="shared" si="0"/>
        <v>20</v>
      </c>
      <c r="N12" s="127">
        <f t="shared" si="0"/>
        <v>7</v>
      </c>
      <c r="O12" s="127">
        <f t="shared" si="0"/>
        <v>0</v>
      </c>
      <c r="P12" s="127">
        <f t="shared" si="0"/>
        <v>17</v>
      </c>
      <c r="Q12" s="127">
        <f t="shared" si="0"/>
        <v>5303</v>
      </c>
      <c r="R12" s="127">
        <f t="shared" si="0"/>
        <v>8759</v>
      </c>
      <c r="S12" s="121">
        <f>(J12+K12)/I12*100</f>
        <v>21.668177697189485</v>
      </c>
      <c r="T12" s="114">
        <f>C12-F12-H12</f>
        <v>0</v>
      </c>
      <c r="U12" s="114">
        <f>D12+E12-C12</f>
        <v>0</v>
      </c>
    </row>
    <row r="13" spans="1:21" s="120" customFormat="1" ht="18" customHeight="1">
      <c r="A13" s="116" t="s">
        <v>0</v>
      </c>
      <c r="B13" s="117" t="s">
        <v>50</v>
      </c>
      <c r="C13" s="118">
        <f>SUM(C14:C30)</f>
        <v>284</v>
      </c>
      <c r="D13" s="118">
        <f>SUM(D14:D30)</f>
        <v>147</v>
      </c>
      <c r="E13" s="118">
        <f aca="true" t="shared" si="1" ref="E13:R13">SUM(E14:E30)</f>
        <v>137</v>
      </c>
      <c r="F13" s="118">
        <f t="shared" si="1"/>
        <v>4</v>
      </c>
      <c r="G13" s="118">
        <f t="shared" si="1"/>
        <v>0</v>
      </c>
      <c r="H13" s="118">
        <f t="shared" si="1"/>
        <v>280</v>
      </c>
      <c r="I13" s="118">
        <f t="shared" si="1"/>
        <v>267</v>
      </c>
      <c r="J13" s="118">
        <f t="shared" si="1"/>
        <v>30</v>
      </c>
      <c r="K13" s="118">
        <f t="shared" si="1"/>
        <v>0</v>
      </c>
      <c r="L13" s="118">
        <f t="shared" si="1"/>
        <v>234</v>
      </c>
      <c r="M13" s="118">
        <f t="shared" si="1"/>
        <v>0</v>
      </c>
      <c r="N13" s="118">
        <f t="shared" si="1"/>
        <v>3</v>
      </c>
      <c r="O13" s="118">
        <f t="shared" si="1"/>
        <v>0</v>
      </c>
      <c r="P13" s="118">
        <f t="shared" si="1"/>
        <v>0</v>
      </c>
      <c r="Q13" s="118">
        <f t="shared" si="1"/>
        <v>13</v>
      </c>
      <c r="R13" s="118">
        <f t="shared" si="1"/>
        <v>250</v>
      </c>
      <c r="S13" s="121">
        <f>(J13+K13)/I13*100</f>
        <v>11.235955056179774</v>
      </c>
      <c r="T13" s="119">
        <f aca="true" t="shared" si="2" ref="T13:T73">C13-F13-H13</f>
        <v>0</v>
      </c>
      <c r="U13" s="114">
        <f aca="true" t="shared" si="3" ref="U13:U76">D13+E13-C13</f>
        <v>0</v>
      </c>
    </row>
    <row r="14" spans="1:21" s="63" customFormat="1" ht="18" customHeight="1">
      <c r="A14" s="64" t="s">
        <v>185</v>
      </c>
      <c r="B14" s="64" t="s">
        <v>83</v>
      </c>
      <c r="C14" s="122">
        <f>D14+E14</f>
        <v>3</v>
      </c>
      <c r="D14" s="123">
        <v>3</v>
      </c>
      <c r="E14" s="122"/>
      <c r="F14" s="122"/>
      <c r="G14" s="122"/>
      <c r="H14" s="122">
        <f aca="true" t="shared" si="4" ref="H14:H30">I14+Q14</f>
        <v>3</v>
      </c>
      <c r="I14" s="122">
        <f>SUM(J14:P14)</f>
        <v>3</v>
      </c>
      <c r="J14" s="122"/>
      <c r="K14" s="122"/>
      <c r="L14" s="122">
        <v>3</v>
      </c>
      <c r="M14" s="122"/>
      <c r="N14" s="122"/>
      <c r="O14" s="122"/>
      <c r="P14" s="122"/>
      <c r="Q14" s="122"/>
      <c r="R14" s="127">
        <f aca="true" t="shared" si="5" ref="R14:R77">SUM(L14:Q14)</f>
        <v>3</v>
      </c>
      <c r="S14" s="121">
        <f aca="true" t="shared" si="6" ref="S14:S77">(J14+K14)/I14*100</f>
        <v>0</v>
      </c>
      <c r="T14" s="63">
        <f t="shared" si="2"/>
        <v>0</v>
      </c>
      <c r="U14" s="114">
        <f t="shared" si="3"/>
        <v>0</v>
      </c>
    </row>
    <row r="15" spans="1:21" s="63" customFormat="1" ht="18" customHeight="1">
      <c r="A15" s="64" t="s">
        <v>26</v>
      </c>
      <c r="B15" s="64" t="s">
        <v>81</v>
      </c>
      <c r="C15" s="122">
        <f aca="true" t="shared" si="7" ref="C15:C30">D15+E15</f>
        <v>2</v>
      </c>
      <c r="D15" s="123">
        <v>2</v>
      </c>
      <c r="E15" s="122"/>
      <c r="F15" s="122"/>
      <c r="G15" s="122"/>
      <c r="H15" s="122">
        <f t="shared" si="4"/>
        <v>2</v>
      </c>
      <c r="I15" s="122">
        <f aca="true" t="shared" si="8" ref="I15:I30">SUM(J15:P15)</f>
        <v>2</v>
      </c>
      <c r="J15" s="122"/>
      <c r="K15" s="122"/>
      <c r="L15" s="122">
        <v>2</v>
      </c>
      <c r="M15" s="122"/>
      <c r="N15" s="122"/>
      <c r="O15" s="122"/>
      <c r="P15" s="122"/>
      <c r="Q15" s="122"/>
      <c r="R15" s="127">
        <f t="shared" si="5"/>
        <v>2</v>
      </c>
      <c r="S15" s="121">
        <f t="shared" si="6"/>
        <v>0</v>
      </c>
      <c r="T15" s="63">
        <f t="shared" si="2"/>
        <v>0</v>
      </c>
      <c r="U15" s="114">
        <f t="shared" si="3"/>
        <v>0</v>
      </c>
    </row>
    <row r="16" spans="1:21" s="63" customFormat="1" ht="18" customHeight="1">
      <c r="A16" s="64" t="s">
        <v>54</v>
      </c>
      <c r="B16" s="64" t="s">
        <v>82</v>
      </c>
      <c r="C16" s="122">
        <f t="shared" si="7"/>
        <v>1</v>
      </c>
      <c r="D16" s="123">
        <v>1</v>
      </c>
      <c r="E16" s="122"/>
      <c r="F16" s="122"/>
      <c r="G16" s="122"/>
      <c r="H16" s="122">
        <f t="shared" si="4"/>
        <v>1</v>
      </c>
      <c r="I16" s="122">
        <f t="shared" si="8"/>
        <v>1</v>
      </c>
      <c r="J16" s="122"/>
      <c r="K16" s="122"/>
      <c r="L16" s="122">
        <v>1</v>
      </c>
      <c r="M16" s="122"/>
      <c r="N16" s="122"/>
      <c r="O16" s="122"/>
      <c r="P16" s="122"/>
      <c r="Q16" s="122"/>
      <c r="R16" s="127">
        <f t="shared" si="5"/>
        <v>1</v>
      </c>
      <c r="S16" s="121">
        <f t="shared" si="6"/>
        <v>0</v>
      </c>
      <c r="T16" s="63">
        <f t="shared" si="2"/>
        <v>0</v>
      </c>
      <c r="U16" s="114">
        <f t="shared" si="3"/>
        <v>0</v>
      </c>
    </row>
    <row r="17" spans="1:21" s="63" customFormat="1" ht="18" customHeight="1">
      <c r="A17" s="64" t="s">
        <v>56</v>
      </c>
      <c r="B17" s="64" t="s">
        <v>235</v>
      </c>
      <c r="C17" s="122">
        <f t="shared" si="7"/>
        <v>4</v>
      </c>
      <c r="D17" s="123">
        <v>1</v>
      </c>
      <c r="E17" s="122">
        <v>3</v>
      </c>
      <c r="F17" s="122"/>
      <c r="G17" s="122"/>
      <c r="H17" s="122">
        <f t="shared" si="4"/>
        <v>4</v>
      </c>
      <c r="I17" s="122">
        <f t="shared" si="8"/>
        <v>4</v>
      </c>
      <c r="J17" s="122">
        <v>3</v>
      </c>
      <c r="K17" s="122"/>
      <c r="L17" s="122">
        <v>1</v>
      </c>
      <c r="M17" s="122"/>
      <c r="N17" s="122"/>
      <c r="O17" s="122"/>
      <c r="P17" s="122"/>
      <c r="Q17" s="122"/>
      <c r="R17" s="127">
        <f t="shared" si="5"/>
        <v>1</v>
      </c>
      <c r="S17" s="121">
        <f t="shared" si="6"/>
        <v>75</v>
      </c>
      <c r="T17" s="63">
        <f t="shared" si="2"/>
        <v>0</v>
      </c>
      <c r="U17" s="114">
        <f t="shared" si="3"/>
        <v>0</v>
      </c>
    </row>
    <row r="18" spans="1:21" s="63" customFormat="1" ht="18" customHeight="1">
      <c r="A18" s="64" t="s">
        <v>186</v>
      </c>
      <c r="B18" s="64" t="s">
        <v>84</v>
      </c>
      <c r="C18" s="122">
        <f t="shared" si="7"/>
        <v>15</v>
      </c>
      <c r="D18" s="123">
        <v>15</v>
      </c>
      <c r="E18" s="122"/>
      <c r="F18" s="122"/>
      <c r="G18" s="122"/>
      <c r="H18" s="122">
        <f t="shared" si="4"/>
        <v>15</v>
      </c>
      <c r="I18" s="122">
        <f t="shared" si="8"/>
        <v>13</v>
      </c>
      <c r="J18" s="122"/>
      <c r="K18" s="122"/>
      <c r="L18" s="122">
        <v>13</v>
      </c>
      <c r="M18" s="122"/>
      <c r="N18" s="122"/>
      <c r="O18" s="122"/>
      <c r="P18" s="122"/>
      <c r="Q18" s="122">
        <v>2</v>
      </c>
      <c r="R18" s="127">
        <f t="shared" si="5"/>
        <v>15</v>
      </c>
      <c r="S18" s="121">
        <f t="shared" si="6"/>
        <v>0</v>
      </c>
      <c r="T18" s="63">
        <f t="shared" si="2"/>
        <v>0</v>
      </c>
      <c r="U18" s="114">
        <f t="shared" si="3"/>
        <v>0</v>
      </c>
    </row>
    <row r="19" spans="1:21" s="63" customFormat="1" ht="18" customHeight="1">
      <c r="A19" s="64" t="s">
        <v>58</v>
      </c>
      <c r="B19" s="64" t="s">
        <v>85</v>
      </c>
      <c r="C19" s="122">
        <f t="shared" si="7"/>
        <v>19</v>
      </c>
      <c r="D19" s="123">
        <v>11</v>
      </c>
      <c r="E19" s="122">
        <v>8</v>
      </c>
      <c r="F19" s="122"/>
      <c r="G19" s="122"/>
      <c r="H19" s="122">
        <f t="shared" si="4"/>
        <v>19</v>
      </c>
      <c r="I19" s="122">
        <f t="shared" si="8"/>
        <v>18</v>
      </c>
      <c r="J19" s="122">
        <v>2</v>
      </c>
      <c r="K19" s="122"/>
      <c r="L19" s="124">
        <v>16</v>
      </c>
      <c r="M19" s="124"/>
      <c r="N19" s="125"/>
      <c r="O19" s="125"/>
      <c r="P19" s="125"/>
      <c r="Q19" s="125">
        <v>1</v>
      </c>
      <c r="R19" s="127">
        <f t="shared" si="5"/>
        <v>17</v>
      </c>
      <c r="S19" s="121">
        <f t="shared" si="6"/>
        <v>11.11111111111111</v>
      </c>
      <c r="T19" s="63">
        <f t="shared" si="2"/>
        <v>0</v>
      </c>
      <c r="U19" s="114">
        <f t="shared" si="3"/>
        <v>0</v>
      </c>
    </row>
    <row r="20" spans="1:21" s="63" customFormat="1" ht="18" customHeight="1">
      <c r="A20" s="64" t="s">
        <v>59</v>
      </c>
      <c r="B20" s="64" t="s">
        <v>86</v>
      </c>
      <c r="C20" s="122">
        <f t="shared" si="7"/>
        <v>8</v>
      </c>
      <c r="D20" s="123">
        <v>8</v>
      </c>
      <c r="E20" s="125"/>
      <c r="F20" s="122"/>
      <c r="G20" s="125"/>
      <c r="H20" s="122">
        <f>I20+Q20</f>
        <v>8</v>
      </c>
      <c r="I20" s="122">
        <f t="shared" si="8"/>
        <v>6</v>
      </c>
      <c r="J20" s="125"/>
      <c r="K20" s="125"/>
      <c r="L20" s="125">
        <v>6</v>
      </c>
      <c r="M20" s="125"/>
      <c r="N20" s="124"/>
      <c r="O20" s="125"/>
      <c r="P20" s="125"/>
      <c r="Q20" s="125">
        <v>2</v>
      </c>
      <c r="R20" s="127">
        <f t="shared" si="5"/>
        <v>8</v>
      </c>
      <c r="S20" s="121">
        <f t="shared" si="6"/>
        <v>0</v>
      </c>
      <c r="T20" s="63">
        <f t="shared" si="2"/>
        <v>0</v>
      </c>
      <c r="U20" s="114">
        <f t="shared" si="3"/>
        <v>0</v>
      </c>
    </row>
    <row r="21" spans="1:21" s="63" customFormat="1" ht="18" customHeight="1">
      <c r="A21" s="64" t="s">
        <v>64</v>
      </c>
      <c r="B21" s="64" t="s">
        <v>87</v>
      </c>
      <c r="C21" s="122">
        <f t="shared" si="7"/>
        <v>7</v>
      </c>
      <c r="D21" s="123">
        <v>6</v>
      </c>
      <c r="E21" s="125">
        <v>1</v>
      </c>
      <c r="F21" s="122"/>
      <c r="G21" s="125"/>
      <c r="H21" s="122">
        <f t="shared" si="4"/>
        <v>7</v>
      </c>
      <c r="I21" s="122">
        <f t="shared" si="8"/>
        <v>7</v>
      </c>
      <c r="J21" s="125"/>
      <c r="K21" s="125"/>
      <c r="L21" s="125">
        <v>7</v>
      </c>
      <c r="M21" s="125"/>
      <c r="N21" s="124"/>
      <c r="O21" s="125"/>
      <c r="P21" s="125"/>
      <c r="Q21" s="125"/>
      <c r="R21" s="127">
        <f t="shared" si="5"/>
        <v>7</v>
      </c>
      <c r="S21" s="121">
        <f t="shared" si="6"/>
        <v>0</v>
      </c>
      <c r="T21" s="63">
        <f t="shared" si="2"/>
        <v>0</v>
      </c>
      <c r="U21" s="114">
        <f t="shared" si="3"/>
        <v>0</v>
      </c>
    </row>
    <row r="22" spans="1:21" s="63" customFormat="1" ht="18" customHeight="1">
      <c r="A22" s="64" t="s">
        <v>88</v>
      </c>
      <c r="B22" s="64" t="s">
        <v>90</v>
      </c>
      <c r="C22" s="122">
        <f t="shared" si="7"/>
        <v>21</v>
      </c>
      <c r="D22" s="123">
        <v>10</v>
      </c>
      <c r="E22" s="125">
        <v>11</v>
      </c>
      <c r="F22" s="122"/>
      <c r="G22" s="125"/>
      <c r="H22" s="122">
        <f t="shared" si="4"/>
        <v>21</v>
      </c>
      <c r="I22" s="122">
        <f t="shared" si="8"/>
        <v>21</v>
      </c>
      <c r="J22" s="125"/>
      <c r="K22" s="125"/>
      <c r="L22" s="125">
        <f>14+7</f>
        <v>21</v>
      </c>
      <c r="M22" s="125"/>
      <c r="N22" s="124"/>
      <c r="O22" s="125"/>
      <c r="P22" s="125"/>
      <c r="Q22" s="125"/>
      <c r="R22" s="127">
        <f t="shared" si="5"/>
        <v>21</v>
      </c>
      <c r="S22" s="121">
        <f t="shared" si="6"/>
        <v>0</v>
      </c>
      <c r="T22" s="63">
        <f t="shared" si="2"/>
        <v>0</v>
      </c>
      <c r="U22" s="114">
        <f t="shared" si="3"/>
        <v>0</v>
      </c>
    </row>
    <row r="23" spans="1:21" s="63" customFormat="1" ht="18" customHeight="1">
      <c r="A23" s="64" t="s">
        <v>89</v>
      </c>
      <c r="B23" s="64" t="s">
        <v>92</v>
      </c>
      <c r="C23" s="122">
        <f t="shared" si="7"/>
        <v>11</v>
      </c>
      <c r="D23" s="123">
        <v>11</v>
      </c>
      <c r="E23" s="125"/>
      <c r="F23" s="122"/>
      <c r="G23" s="125"/>
      <c r="H23" s="122">
        <f t="shared" si="4"/>
        <v>11</v>
      </c>
      <c r="I23" s="122">
        <f t="shared" si="8"/>
        <v>11</v>
      </c>
      <c r="J23" s="125"/>
      <c r="K23" s="125"/>
      <c r="L23" s="125">
        <v>11</v>
      </c>
      <c r="M23" s="125"/>
      <c r="N23" s="124"/>
      <c r="O23" s="125"/>
      <c r="P23" s="125"/>
      <c r="Q23" s="125"/>
      <c r="R23" s="127">
        <f t="shared" si="5"/>
        <v>11</v>
      </c>
      <c r="S23" s="121">
        <f t="shared" si="6"/>
        <v>0</v>
      </c>
      <c r="T23" s="63">
        <f t="shared" si="2"/>
        <v>0</v>
      </c>
      <c r="U23" s="114">
        <f t="shared" si="3"/>
        <v>0</v>
      </c>
    </row>
    <row r="24" spans="1:21" s="63" customFormat="1" ht="18" customHeight="1">
      <c r="A24" s="64" t="s">
        <v>91</v>
      </c>
      <c r="B24" s="64" t="s">
        <v>236</v>
      </c>
      <c r="C24" s="122">
        <f t="shared" si="7"/>
        <v>16</v>
      </c>
      <c r="D24" s="123">
        <v>15</v>
      </c>
      <c r="E24" s="125">
        <v>1</v>
      </c>
      <c r="F24" s="122"/>
      <c r="G24" s="125"/>
      <c r="H24" s="122">
        <f t="shared" si="4"/>
        <v>16</v>
      </c>
      <c r="I24" s="122">
        <f t="shared" si="8"/>
        <v>16</v>
      </c>
      <c r="J24" s="125"/>
      <c r="K24" s="125"/>
      <c r="L24" s="125">
        <v>16</v>
      </c>
      <c r="M24" s="125"/>
      <c r="N24" s="124"/>
      <c r="O24" s="125"/>
      <c r="P24" s="125"/>
      <c r="Q24" s="125"/>
      <c r="R24" s="127">
        <f t="shared" si="5"/>
        <v>16</v>
      </c>
      <c r="S24" s="121">
        <f t="shared" si="6"/>
        <v>0</v>
      </c>
      <c r="T24" s="63">
        <f t="shared" si="2"/>
        <v>0</v>
      </c>
      <c r="U24" s="114">
        <f t="shared" si="3"/>
        <v>0</v>
      </c>
    </row>
    <row r="25" spans="1:21" s="63" customFormat="1" ht="18" customHeight="1">
      <c r="A25" s="64" t="s">
        <v>93</v>
      </c>
      <c r="B25" s="64" t="s">
        <v>237</v>
      </c>
      <c r="C25" s="122">
        <f t="shared" si="7"/>
        <v>55</v>
      </c>
      <c r="D25" s="125">
        <v>17</v>
      </c>
      <c r="E25" s="125">
        <v>38</v>
      </c>
      <c r="F25" s="122"/>
      <c r="G25" s="125"/>
      <c r="H25" s="122">
        <f t="shared" si="4"/>
        <v>55</v>
      </c>
      <c r="I25" s="122">
        <f t="shared" si="8"/>
        <v>51</v>
      </c>
      <c r="J25" s="125">
        <v>6</v>
      </c>
      <c r="K25" s="125"/>
      <c r="L25" s="125">
        <f>29+16</f>
        <v>45</v>
      </c>
      <c r="M25" s="125"/>
      <c r="N25" s="124"/>
      <c r="O25" s="125"/>
      <c r="P25" s="125"/>
      <c r="Q25" s="125">
        <v>4</v>
      </c>
      <c r="R25" s="127">
        <f t="shared" si="5"/>
        <v>49</v>
      </c>
      <c r="S25" s="121">
        <f t="shared" si="6"/>
        <v>11.76470588235294</v>
      </c>
      <c r="T25" s="63">
        <f t="shared" si="2"/>
        <v>0</v>
      </c>
      <c r="U25" s="114">
        <f t="shared" si="3"/>
        <v>0</v>
      </c>
    </row>
    <row r="26" spans="1:21" s="63" customFormat="1" ht="18" customHeight="1">
      <c r="A26" s="64" t="s">
        <v>184</v>
      </c>
      <c r="B26" s="64" t="s">
        <v>95</v>
      </c>
      <c r="C26" s="122">
        <f t="shared" si="7"/>
        <v>43</v>
      </c>
      <c r="D26" s="123">
        <v>18</v>
      </c>
      <c r="E26" s="125">
        <v>25</v>
      </c>
      <c r="F26" s="122">
        <v>4</v>
      </c>
      <c r="G26" s="125"/>
      <c r="H26" s="122">
        <f t="shared" si="4"/>
        <v>39</v>
      </c>
      <c r="I26" s="122">
        <f t="shared" si="8"/>
        <v>38</v>
      </c>
      <c r="J26" s="125">
        <v>11</v>
      </c>
      <c r="K26" s="125"/>
      <c r="L26" s="125">
        <v>24</v>
      </c>
      <c r="M26" s="125">
        <v>0</v>
      </c>
      <c r="N26" s="124">
        <v>3</v>
      </c>
      <c r="O26" s="125"/>
      <c r="P26" s="125"/>
      <c r="Q26" s="125">
        <v>1</v>
      </c>
      <c r="R26" s="127">
        <f t="shared" si="5"/>
        <v>28</v>
      </c>
      <c r="S26" s="121">
        <f t="shared" si="6"/>
        <v>28.947368421052634</v>
      </c>
      <c r="T26" s="63">
        <f t="shared" si="2"/>
        <v>0</v>
      </c>
      <c r="U26" s="114">
        <f t="shared" si="3"/>
        <v>0</v>
      </c>
    </row>
    <row r="27" spans="1:21" s="63" customFormat="1" ht="18" customHeight="1">
      <c r="A27" s="64" t="s">
        <v>94</v>
      </c>
      <c r="B27" s="64" t="s">
        <v>97</v>
      </c>
      <c r="C27" s="122">
        <f t="shared" si="7"/>
        <v>8</v>
      </c>
      <c r="D27" s="123">
        <v>8</v>
      </c>
      <c r="E27" s="125"/>
      <c r="F27" s="122"/>
      <c r="G27" s="125"/>
      <c r="H27" s="122">
        <f t="shared" si="4"/>
        <v>8</v>
      </c>
      <c r="I27" s="122">
        <f t="shared" si="8"/>
        <v>8</v>
      </c>
      <c r="J27" s="125"/>
      <c r="K27" s="125"/>
      <c r="L27" s="125">
        <v>8</v>
      </c>
      <c r="M27" s="125">
        <v>0</v>
      </c>
      <c r="N27" s="124"/>
      <c r="O27" s="125"/>
      <c r="P27" s="125"/>
      <c r="Q27" s="125"/>
      <c r="R27" s="127">
        <f t="shared" si="5"/>
        <v>8</v>
      </c>
      <c r="S27" s="121">
        <f t="shared" si="6"/>
        <v>0</v>
      </c>
      <c r="T27" s="63">
        <f t="shared" si="2"/>
        <v>0</v>
      </c>
      <c r="U27" s="114">
        <f t="shared" si="3"/>
        <v>0</v>
      </c>
    </row>
    <row r="28" spans="1:21" s="63" customFormat="1" ht="18" customHeight="1">
      <c r="A28" s="64" t="s">
        <v>238</v>
      </c>
      <c r="B28" s="64" t="s">
        <v>99</v>
      </c>
      <c r="C28" s="122">
        <f t="shared" si="7"/>
        <v>54</v>
      </c>
      <c r="D28" s="123">
        <v>12</v>
      </c>
      <c r="E28" s="122">
        <v>42</v>
      </c>
      <c r="F28" s="122"/>
      <c r="G28" s="126"/>
      <c r="H28" s="122">
        <f t="shared" si="4"/>
        <v>54</v>
      </c>
      <c r="I28" s="122">
        <f t="shared" si="8"/>
        <v>53</v>
      </c>
      <c r="J28" s="122">
        <v>5</v>
      </c>
      <c r="K28" s="122"/>
      <c r="L28" s="124">
        <v>48</v>
      </c>
      <c r="M28" s="124"/>
      <c r="N28" s="124"/>
      <c r="O28" s="125"/>
      <c r="P28" s="125"/>
      <c r="Q28" s="125">
        <v>1</v>
      </c>
      <c r="R28" s="127">
        <f t="shared" si="5"/>
        <v>49</v>
      </c>
      <c r="S28" s="121">
        <f t="shared" si="6"/>
        <v>9.433962264150944</v>
      </c>
      <c r="T28" s="63">
        <f t="shared" si="2"/>
        <v>0</v>
      </c>
      <c r="U28" s="114">
        <f t="shared" si="3"/>
        <v>0</v>
      </c>
    </row>
    <row r="29" spans="1:21" s="63" customFormat="1" ht="18" customHeight="1">
      <c r="A29" s="64" t="s">
        <v>96</v>
      </c>
      <c r="B29" s="64" t="s">
        <v>100</v>
      </c>
      <c r="C29" s="122">
        <f t="shared" si="7"/>
        <v>8</v>
      </c>
      <c r="D29" s="122">
        <v>7</v>
      </c>
      <c r="E29" s="122">
        <v>1</v>
      </c>
      <c r="F29" s="122">
        <v>0</v>
      </c>
      <c r="G29" s="122"/>
      <c r="H29" s="122">
        <f t="shared" si="4"/>
        <v>8</v>
      </c>
      <c r="I29" s="122">
        <f t="shared" si="8"/>
        <v>6</v>
      </c>
      <c r="J29" s="122">
        <v>0</v>
      </c>
      <c r="K29" s="122"/>
      <c r="L29" s="124">
        <v>6</v>
      </c>
      <c r="M29" s="124"/>
      <c r="N29" s="124"/>
      <c r="O29" s="125"/>
      <c r="P29" s="125"/>
      <c r="Q29" s="125">
        <v>2</v>
      </c>
      <c r="R29" s="127">
        <f t="shared" si="5"/>
        <v>8</v>
      </c>
      <c r="S29" s="121">
        <f t="shared" si="6"/>
        <v>0</v>
      </c>
      <c r="T29" s="63">
        <f t="shared" si="2"/>
        <v>0</v>
      </c>
      <c r="U29" s="114">
        <f t="shared" si="3"/>
        <v>0</v>
      </c>
    </row>
    <row r="30" spans="1:21" s="63" customFormat="1" ht="18" customHeight="1">
      <c r="A30" s="64" t="s">
        <v>98</v>
      </c>
      <c r="B30" s="64" t="s">
        <v>239</v>
      </c>
      <c r="C30" s="122">
        <f t="shared" si="7"/>
        <v>9</v>
      </c>
      <c r="D30" s="122">
        <v>2</v>
      </c>
      <c r="E30" s="122">
        <v>7</v>
      </c>
      <c r="F30" s="122">
        <v>0</v>
      </c>
      <c r="G30" s="122"/>
      <c r="H30" s="122">
        <f t="shared" si="4"/>
        <v>9</v>
      </c>
      <c r="I30" s="122">
        <f t="shared" si="8"/>
        <v>9</v>
      </c>
      <c r="J30" s="122">
        <v>3</v>
      </c>
      <c r="K30" s="122"/>
      <c r="L30" s="124">
        <v>6</v>
      </c>
      <c r="M30" s="124"/>
      <c r="N30" s="124"/>
      <c r="O30" s="125"/>
      <c r="P30" s="125"/>
      <c r="Q30" s="125"/>
      <c r="R30" s="127">
        <f t="shared" si="5"/>
        <v>6</v>
      </c>
      <c r="S30" s="121">
        <f t="shared" si="6"/>
        <v>33.33333333333333</v>
      </c>
      <c r="T30" s="63">
        <f t="shared" si="2"/>
        <v>0</v>
      </c>
      <c r="U30" s="114">
        <f t="shared" si="3"/>
        <v>0</v>
      </c>
    </row>
    <row r="31" spans="1:21" s="66" customFormat="1" ht="18" customHeight="1">
      <c r="A31" s="65" t="s">
        <v>1</v>
      </c>
      <c r="B31" s="65" t="s">
        <v>101</v>
      </c>
      <c r="C31" s="127">
        <f aca="true" t="shared" si="9" ref="C31:H31">C32+C37+C42+C45+C48+C57+C62+C70+C74+C78+C89+C92+C96+C108+C111</f>
        <v>9454</v>
      </c>
      <c r="D31" s="127">
        <f t="shared" si="9"/>
        <v>7902</v>
      </c>
      <c r="E31" s="127">
        <f t="shared" si="9"/>
        <v>1552</v>
      </c>
      <c r="F31" s="127">
        <f t="shared" si="9"/>
        <v>19</v>
      </c>
      <c r="G31" s="127">
        <f t="shared" si="9"/>
        <v>4</v>
      </c>
      <c r="H31" s="127">
        <f t="shared" si="9"/>
        <v>9435</v>
      </c>
      <c r="I31" s="127">
        <f>J31+K31+L31+M31+N31+O31+P31</f>
        <v>4145</v>
      </c>
      <c r="J31" s="127">
        <f aca="true" t="shared" si="10" ref="J31:Q31">J32+J37+J42+J45+J48+J57+J62+J70+J74+J78+J89+J92+J96+J108+J111</f>
        <v>859</v>
      </c>
      <c r="K31" s="127">
        <f t="shared" si="10"/>
        <v>67</v>
      </c>
      <c r="L31" s="127">
        <f t="shared" si="10"/>
        <v>3178</v>
      </c>
      <c r="M31" s="127">
        <f t="shared" si="10"/>
        <v>20</v>
      </c>
      <c r="N31" s="127">
        <f t="shared" si="10"/>
        <v>4</v>
      </c>
      <c r="O31" s="127">
        <f t="shared" si="10"/>
        <v>0</v>
      </c>
      <c r="P31" s="127">
        <f t="shared" si="10"/>
        <v>17</v>
      </c>
      <c r="Q31" s="127">
        <f t="shared" si="10"/>
        <v>5290</v>
      </c>
      <c r="R31" s="127">
        <f t="shared" si="5"/>
        <v>8509</v>
      </c>
      <c r="S31" s="121">
        <f t="shared" si="6"/>
        <v>22.340168878166466</v>
      </c>
      <c r="T31" s="66">
        <f t="shared" si="2"/>
        <v>0</v>
      </c>
      <c r="U31" s="114">
        <f t="shared" si="3"/>
        <v>0</v>
      </c>
    </row>
    <row r="32" spans="1:21" s="66" customFormat="1" ht="18" customHeight="1">
      <c r="A32" s="65">
        <v>1</v>
      </c>
      <c r="B32" s="67" t="s">
        <v>102</v>
      </c>
      <c r="C32" s="127">
        <f aca="true" t="shared" si="11" ref="C32:H32">SUM(C33:C36)</f>
        <v>726</v>
      </c>
      <c r="D32" s="127">
        <f t="shared" si="11"/>
        <v>632</v>
      </c>
      <c r="E32" s="127">
        <f t="shared" si="11"/>
        <v>94</v>
      </c>
      <c r="F32" s="127">
        <f t="shared" si="11"/>
        <v>1</v>
      </c>
      <c r="G32" s="127">
        <f t="shared" si="11"/>
        <v>0</v>
      </c>
      <c r="H32" s="127">
        <f t="shared" si="11"/>
        <v>725</v>
      </c>
      <c r="I32" s="127">
        <f>J32+K32+L32+M32+N32+O32+P32</f>
        <v>348</v>
      </c>
      <c r="J32" s="127">
        <f aca="true" t="shared" si="12" ref="J32:Q32">SUM(J33:J36)</f>
        <v>54</v>
      </c>
      <c r="K32" s="127">
        <f t="shared" si="12"/>
        <v>19</v>
      </c>
      <c r="L32" s="127">
        <f t="shared" si="12"/>
        <v>274</v>
      </c>
      <c r="M32" s="127">
        <f t="shared" si="12"/>
        <v>1</v>
      </c>
      <c r="N32" s="127">
        <f t="shared" si="12"/>
        <v>0</v>
      </c>
      <c r="O32" s="127">
        <f t="shared" si="12"/>
        <v>0</v>
      </c>
      <c r="P32" s="127">
        <f t="shared" si="12"/>
        <v>0</v>
      </c>
      <c r="Q32" s="127">
        <f t="shared" si="12"/>
        <v>377</v>
      </c>
      <c r="R32" s="127">
        <f t="shared" si="5"/>
        <v>652</v>
      </c>
      <c r="S32" s="121">
        <f t="shared" si="6"/>
        <v>20.977011494252874</v>
      </c>
      <c r="T32" s="66">
        <f t="shared" si="2"/>
        <v>0</v>
      </c>
      <c r="U32" s="114">
        <f t="shared" si="3"/>
        <v>0</v>
      </c>
    </row>
    <row r="33" spans="1:21" s="63" customFormat="1" ht="18" customHeight="1">
      <c r="A33" s="64" t="s">
        <v>185</v>
      </c>
      <c r="B33" s="103" t="s">
        <v>103</v>
      </c>
      <c r="C33" s="128">
        <f>SUM(D33+E33)</f>
        <v>94</v>
      </c>
      <c r="D33" s="128">
        <v>81</v>
      </c>
      <c r="E33" s="128">
        <v>13</v>
      </c>
      <c r="F33" s="128">
        <v>0</v>
      </c>
      <c r="G33" s="128">
        <v>0</v>
      </c>
      <c r="H33" s="128">
        <f>SUM(Q33+I33)</f>
        <v>94</v>
      </c>
      <c r="I33" s="128">
        <f>SUM(L33+M33+N33+O33+P33+J33+K33)</f>
        <v>48</v>
      </c>
      <c r="J33" s="128">
        <v>9</v>
      </c>
      <c r="K33" s="128">
        <v>3</v>
      </c>
      <c r="L33" s="128">
        <v>36</v>
      </c>
      <c r="M33" s="128">
        <v>0</v>
      </c>
      <c r="N33" s="128">
        <v>0</v>
      </c>
      <c r="O33" s="128">
        <v>0</v>
      </c>
      <c r="P33" s="128">
        <v>0</v>
      </c>
      <c r="Q33" s="128">
        <v>46</v>
      </c>
      <c r="R33" s="127">
        <f t="shared" si="5"/>
        <v>82</v>
      </c>
      <c r="S33" s="121">
        <f t="shared" si="6"/>
        <v>25</v>
      </c>
      <c r="T33" s="63">
        <f t="shared" si="2"/>
        <v>0</v>
      </c>
      <c r="U33" s="114">
        <f t="shared" si="3"/>
        <v>0</v>
      </c>
    </row>
    <row r="34" spans="1:21" s="63" customFormat="1" ht="18" customHeight="1">
      <c r="A34" s="64" t="s">
        <v>26</v>
      </c>
      <c r="B34" s="103" t="s">
        <v>233</v>
      </c>
      <c r="C34" s="128">
        <f>SUM(D34+E34)</f>
        <v>127</v>
      </c>
      <c r="D34" s="128">
        <v>115</v>
      </c>
      <c r="E34" s="128">
        <v>12</v>
      </c>
      <c r="F34" s="128">
        <v>0</v>
      </c>
      <c r="G34" s="128"/>
      <c r="H34" s="128">
        <f>SUM(Q34+I34)</f>
        <v>127</v>
      </c>
      <c r="I34" s="128">
        <f>SUM(L34+M34+N34+O34+P34+J34+K34)</f>
        <v>55</v>
      </c>
      <c r="J34" s="128">
        <v>0</v>
      </c>
      <c r="K34" s="128">
        <v>0</v>
      </c>
      <c r="L34" s="128">
        <v>55</v>
      </c>
      <c r="M34" s="128">
        <v>0</v>
      </c>
      <c r="N34" s="128"/>
      <c r="O34" s="128"/>
      <c r="P34" s="128">
        <v>0</v>
      </c>
      <c r="Q34" s="128">
        <v>72</v>
      </c>
      <c r="R34" s="127">
        <f t="shared" si="5"/>
        <v>127</v>
      </c>
      <c r="S34" s="121">
        <f t="shared" si="6"/>
        <v>0</v>
      </c>
      <c r="T34" s="63">
        <f t="shared" si="2"/>
        <v>0</v>
      </c>
      <c r="U34" s="114">
        <f t="shared" si="3"/>
        <v>0</v>
      </c>
    </row>
    <row r="35" spans="1:21" s="63" customFormat="1" ht="18" customHeight="1">
      <c r="A35" s="64" t="s">
        <v>54</v>
      </c>
      <c r="B35" s="103" t="s">
        <v>104</v>
      </c>
      <c r="C35" s="128">
        <f>SUM(D35+E35)</f>
        <v>300</v>
      </c>
      <c r="D35" s="128">
        <v>265</v>
      </c>
      <c r="E35" s="128">
        <v>35</v>
      </c>
      <c r="F35" s="128">
        <v>0</v>
      </c>
      <c r="G35" s="128"/>
      <c r="H35" s="128">
        <f>SUM(Q35+I35)</f>
        <v>300</v>
      </c>
      <c r="I35" s="128">
        <f>SUM(L35+M35+N35+O35+P35+J35+K35)</f>
        <v>161</v>
      </c>
      <c r="J35" s="128">
        <v>17</v>
      </c>
      <c r="K35" s="128">
        <v>13</v>
      </c>
      <c r="L35" s="128">
        <v>130</v>
      </c>
      <c r="M35" s="128">
        <v>1</v>
      </c>
      <c r="N35" s="128"/>
      <c r="O35" s="128">
        <v>0</v>
      </c>
      <c r="P35" s="128">
        <v>0</v>
      </c>
      <c r="Q35" s="128">
        <v>139</v>
      </c>
      <c r="R35" s="127">
        <f t="shared" si="5"/>
        <v>270</v>
      </c>
      <c r="S35" s="121">
        <f t="shared" si="6"/>
        <v>18.633540372670808</v>
      </c>
      <c r="T35" s="63">
        <f t="shared" si="2"/>
        <v>0</v>
      </c>
      <c r="U35" s="114">
        <f t="shared" si="3"/>
        <v>0</v>
      </c>
    </row>
    <row r="36" spans="1:21" s="63" customFormat="1" ht="18" customHeight="1">
      <c r="A36" s="64" t="s">
        <v>56</v>
      </c>
      <c r="B36" s="103" t="s">
        <v>234</v>
      </c>
      <c r="C36" s="128">
        <f>SUM(D36+E36)</f>
        <v>205</v>
      </c>
      <c r="D36" s="128">
        <v>171</v>
      </c>
      <c r="E36" s="128">
        <v>34</v>
      </c>
      <c r="F36" s="128">
        <v>1</v>
      </c>
      <c r="G36" s="128"/>
      <c r="H36" s="128">
        <f>SUM(Q36+I36)</f>
        <v>204</v>
      </c>
      <c r="I36" s="128">
        <f>SUM(L36+M36+N36+O36+P36+J36+K36)</f>
        <v>84</v>
      </c>
      <c r="J36" s="128">
        <v>28</v>
      </c>
      <c r="K36" s="128">
        <v>3</v>
      </c>
      <c r="L36" s="128">
        <v>53</v>
      </c>
      <c r="M36" s="128">
        <v>0</v>
      </c>
      <c r="N36" s="128"/>
      <c r="O36" s="128"/>
      <c r="P36" s="128">
        <v>0</v>
      </c>
      <c r="Q36" s="128">
        <v>120</v>
      </c>
      <c r="R36" s="127">
        <f t="shared" si="5"/>
        <v>173</v>
      </c>
      <c r="S36" s="121">
        <f t="shared" si="6"/>
        <v>36.904761904761905</v>
      </c>
      <c r="T36" s="63">
        <f t="shared" si="2"/>
        <v>0</v>
      </c>
      <c r="U36" s="114">
        <f t="shared" si="3"/>
        <v>0</v>
      </c>
    </row>
    <row r="37" spans="1:21" s="66" customFormat="1" ht="18" customHeight="1">
      <c r="A37" s="65">
        <v>2</v>
      </c>
      <c r="B37" s="67" t="s">
        <v>105</v>
      </c>
      <c r="C37" s="127">
        <f>SUM(C38:C41)</f>
        <v>250</v>
      </c>
      <c r="D37" s="127">
        <f aca="true" t="shared" si="13" ref="D37:Q37">SUM(D38:D41)</f>
        <v>183</v>
      </c>
      <c r="E37" s="127">
        <f t="shared" si="13"/>
        <v>67</v>
      </c>
      <c r="F37" s="127">
        <f t="shared" si="13"/>
        <v>1</v>
      </c>
      <c r="G37" s="127">
        <f t="shared" si="13"/>
        <v>0</v>
      </c>
      <c r="H37" s="127">
        <f t="shared" si="13"/>
        <v>249</v>
      </c>
      <c r="I37" s="127">
        <f t="shared" si="13"/>
        <v>101</v>
      </c>
      <c r="J37" s="127">
        <f t="shared" si="13"/>
        <v>51</v>
      </c>
      <c r="K37" s="127">
        <f t="shared" si="13"/>
        <v>1</v>
      </c>
      <c r="L37" s="127">
        <f t="shared" si="13"/>
        <v>45</v>
      </c>
      <c r="M37" s="127">
        <f t="shared" si="13"/>
        <v>0</v>
      </c>
      <c r="N37" s="127">
        <f t="shared" si="13"/>
        <v>1</v>
      </c>
      <c r="O37" s="127">
        <f t="shared" si="13"/>
        <v>0</v>
      </c>
      <c r="P37" s="127">
        <f t="shared" si="13"/>
        <v>3</v>
      </c>
      <c r="Q37" s="127">
        <f t="shared" si="13"/>
        <v>148</v>
      </c>
      <c r="R37" s="127">
        <f t="shared" si="5"/>
        <v>197</v>
      </c>
      <c r="S37" s="121">
        <f t="shared" si="6"/>
        <v>51.48514851485149</v>
      </c>
      <c r="T37" s="66">
        <f t="shared" si="2"/>
        <v>0</v>
      </c>
      <c r="U37" s="114">
        <f t="shared" si="3"/>
        <v>0</v>
      </c>
    </row>
    <row r="38" spans="1:21" s="63" customFormat="1" ht="18" customHeight="1">
      <c r="A38" s="64" t="s">
        <v>240</v>
      </c>
      <c r="B38" s="64" t="s">
        <v>204</v>
      </c>
      <c r="C38" s="122">
        <f>D38+E38</f>
        <v>38</v>
      </c>
      <c r="D38" s="122">
        <v>14</v>
      </c>
      <c r="E38" s="122">
        <v>24</v>
      </c>
      <c r="F38" s="122">
        <v>0</v>
      </c>
      <c r="G38" s="122"/>
      <c r="H38" s="122">
        <f>I38+Q38</f>
        <v>38</v>
      </c>
      <c r="I38" s="122">
        <f>J38+K38+L38+M38+N38+O38+P38</f>
        <v>27</v>
      </c>
      <c r="J38" s="122">
        <v>25</v>
      </c>
      <c r="K38" s="122">
        <v>1</v>
      </c>
      <c r="L38" s="122">
        <v>1</v>
      </c>
      <c r="M38" s="122"/>
      <c r="N38" s="122"/>
      <c r="O38" s="122"/>
      <c r="P38" s="124"/>
      <c r="Q38" s="125">
        <v>11</v>
      </c>
      <c r="R38" s="127">
        <f t="shared" si="5"/>
        <v>12</v>
      </c>
      <c r="S38" s="121">
        <f t="shared" si="6"/>
        <v>96.29629629629629</v>
      </c>
      <c r="T38" s="63">
        <f t="shared" si="2"/>
        <v>0</v>
      </c>
      <c r="U38" s="114">
        <f t="shared" si="3"/>
        <v>0</v>
      </c>
    </row>
    <row r="39" spans="1:21" s="63" customFormat="1" ht="18" customHeight="1">
      <c r="A39" s="64" t="s">
        <v>241</v>
      </c>
      <c r="B39" s="64" t="s">
        <v>177</v>
      </c>
      <c r="C39" s="122">
        <f>D39+E39</f>
        <v>96</v>
      </c>
      <c r="D39" s="122">
        <v>74</v>
      </c>
      <c r="E39" s="122">
        <v>22</v>
      </c>
      <c r="F39" s="122">
        <v>1</v>
      </c>
      <c r="G39" s="122"/>
      <c r="H39" s="122">
        <f>I39+Q39</f>
        <v>95</v>
      </c>
      <c r="I39" s="122">
        <f>J39+K39+L39+M39+N39+O39+P39</f>
        <v>35</v>
      </c>
      <c r="J39" s="122">
        <v>12</v>
      </c>
      <c r="K39" s="122">
        <v>0</v>
      </c>
      <c r="L39" s="122">
        <v>21</v>
      </c>
      <c r="M39" s="122"/>
      <c r="N39" s="122"/>
      <c r="O39" s="122"/>
      <c r="P39" s="124">
        <v>2</v>
      </c>
      <c r="Q39" s="125">
        <v>60</v>
      </c>
      <c r="R39" s="127">
        <f t="shared" si="5"/>
        <v>83</v>
      </c>
      <c r="S39" s="121">
        <f t="shared" si="6"/>
        <v>34.285714285714285</v>
      </c>
      <c r="T39" s="63">
        <f t="shared" si="2"/>
        <v>0</v>
      </c>
      <c r="U39" s="114">
        <f t="shared" si="3"/>
        <v>0</v>
      </c>
    </row>
    <row r="40" spans="1:21" s="63" customFormat="1" ht="18" customHeight="1">
      <c r="A40" s="64" t="s">
        <v>242</v>
      </c>
      <c r="B40" s="64" t="s">
        <v>205</v>
      </c>
      <c r="C40" s="122">
        <f>D40+E40</f>
        <v>116</v>
      </c>
      <c r="D40" s="122">
        <v>95</v>
      </c>
      <c r="E40" s="122">
        <v>21</v>
      </c>
      <c r="F40" s="122"/>
      <c r="G40" s="122"/>
      <c r="H40" s="122">
        <f>I40+Q40</f>
        <v>116</v>
      </c>
      <c r="I40" s="122">
        <f>J40+K40+L40+M40+N40+O40+P40</f>
        <v>39</v>
      </c>
      <c r="J40" s="122">
        <v>14</v>
      </c>
      <c r="K40" s="122">
        <v>0</v>
      </c>
      <c r="L40" s="122">
        <v>23</v>
      </c>
      <c r="M40" s="122"/>
      <c r="N40" s="122">
        <v>1</v>
      </c>
      <c r="O40" s="122"/>
      <c r="P40" s="124">
        <v>1</v>
      </c>
      <c r="Q40" s="125">
        <v>77</v>
      </c>
      <c r="R40" s="127">
        <f t="shared" si="5"/>
        <v>102</v>
      </c>
      <c r="S40" s="121">
        <f t="shared" si="6"/>
        <v>35.8974358974359</v>
      </c>
      <c r="T40" s="63">
        <f t="shared" si="2"/>
        <v>0</v>
      </c>
      <c r="U40" s="114">
        <f t="shared" si="3"/>
        <v>0</v>
      </c>
    </row>
    <row r="41" spans="1:21" s="63" customFormat="1" ht="18" customHeight="1">
      <c r="A41" s="64" t="s">
        <v>243</v>
      </c>
      <c r="B41" s="64" t="s">
        <v>106</v>
      </c>
      <c r="C41" s="122">
        <v>0</v>
      </c>
      <c r="D41" s="122">
        <v>0</v>
      </c>
      <c r="E41" s="122">
        <v>0</v>
      </c>
      <c r="F41" s="122">
        <v>0</v>
      </c>
      <c r="G41" s="122">
        <v>0</v>
      </c>
      <c r="H41" s="122">
        <f>I41+Q41</f>
        <v>0</v>
      </c>
      <c r="I41" s="122">
        <f>J41+K41+L41+M41+N41+O41+P41</f>
        <v>0</v>
      </c>
      <c r="J41" s="122">
        <v>0</v>
      </c>
      <c r="K41" s="122">
        <v>0</v>
      </c>
      <c r="L41" s="122">
        <v>0</v>
      </c>
      <c r="M41" s="122">
        <v>0</v>
      </c>
      <c r="N41" s="122"/>
      <c r="O41" s="122"/>
      <c r="P41" s="124"/>
      <c r="Q41" s="125">
        <v>0</v>
      </c>
      <c r="R41" s="127">
        <f t="shared" si="5"/>
        <v>0</v>
      </c>
      <c r="S41" s="121" t="e">
        <f t="shared" si="6"/>
        <v>#DIV/0!</v>
      </c>
      <c r="T41" s="63">
        <f t="shared" si="2"/>
        <v>0</v>
      </c>
      <c r="U41" s="114">
        <f t="shared" si="3"/>
        <v>0</v>
      </c>
    </row>
    <row r="42" spans="1:21" s="66" customFormat="1" ht="18" customHeight="1">
      <c r="A42" s="65">
        <v>3</v>
      </c>
      <c r="B42" s="67" t="s">
        <v>107</v>
      </c>
      <c r="C42" s="127">
        <f>C43+C44</f>
        <v>178</v>
      </c>
      <c r="D42" s="127">
        <f aca="true" t="shared" si="14" ref="D42:Q42">D43+D44</f>
        <v>144</v>
      </c>
      <c r="E42" s="127">
        <f t="shared" si="14"/>
        <v>34</v>
      </c>
      <c r="F42" s="127">
        <f t="shared" si="14"/>
        <v>0</v>
      </c>
      <c r="G42" s="127">
        <f t="shared" si="14"/>
        <v>0</v>
      </c>
      <c r="H42" s="127">
        <f t="shared" si="14"/>
        <v>178</v>
      </c>
      <c r="I42" s="127">
        <f t="shared" si="14"/>
        <v>95</v>
      </c>
      <c r="J42" s="127">
        <f t="shared" si="14"/>
        <v>25</v>
      </c>
      <c r="K42" s="127">
        <f t="shared" si="14"/>
        <v>1</v>
      </c>
      <c r="L42" s="127">
        <f t="shared" si="14"/>
        <v>68</v>
      </c>
      <c r="M42" s="127">
        <f t="shared" si="14"/>
        <v>0</v>
      </c>
      <c r="N42" s="127">
        <f t="shared" si="14"/>
        <v>0</v>
      </c>
      <c r="O42" s="127">
        <f t="shared" si="14"/>
        <v>0</v>
      </c>
      <c r="P42" s="127">
        <f t="shared" si="14"/>
        <v>1</v>
      </c>
      <c r="Q42" s="127">
        <f t="shared" si="14"/>
        <v>83</v>
      </c>
      <c r="R42" s="127">
        <f t="shared" si="5"/>
        <v>152</v>
      </c>
      <c r="S42" s="121">
        <f t="shared" si="6"/>
        <v>27.368421052631582</v>
      </c>
      <c r="T42" s="66">
        <f t="shared" si="2"/>
        <v>0</v>
      </c>
      <c r="U42" s="114">
        <f t="shared" si="3"/>
        <v>0</v>
      </c>
    </row>
    <row r="43" spans="1:21" s="63" customFormat="1" ht="18" customHeight="1">
      <c r="A43" s="64" t="s">
        <v>244</v>
      </c>
      <c r="B43" s="64" t="s">
        <v>109</v>
      </c>
      <c r="C43" s="122">
        <f>D43+E43</f>
        <v>62</v>
      </c>
      <c r="D43" s="122">
        <v>44</v>
      </c>
      <c r="E43" s="122">
        <v>18</v>
      </c>
      <c r="F43" s="122">
        <v>0</v>
      </c>
      <c r="G43" s="122">
        <v>0</v>
      </c>
      <c r="H43" s="122">
        <f>I43+Q43</f>
        <v>62</v>
      </c>
      <c r="I43" s="122">
        <f>J43+K43+L43+M43+N43+O43+P43</f>
        <v>40</v>
      </c>
      <c r="J43" s="122">
        <v>14</v>
      </c>
      <c r="K43" s="122">
        <v>1</v>
      </c>
      <c r="L43" s="122">
        <v>24</v>
      </c>
      <c r="M43" s="122">
        <v>0</v>
      </c>
      <c r="N43" s="122">
        <v>0</v>
      </c>
      <c r="O43" s="122">
        <v>0</v>
      </c>
      <c r="P43" s="124">
        <v>1</v>
      </c>
      <c r="Q43" s="125">
        <v>22</v>
      </c>
      <c r="R43" s="127">
        <f t="shared" si="5"/>
        <v>47</v>
      </c>
      <c r="S43" s="121">
        <f t="shared" si="6"/>
        <v>37.5</v>
      </c>
      <c r="T43" s="63">
        <f t="shared" si="2"/>
        <v>0</v>
      </c>
      <c r="U43" s="114">
        <f t="shared" si="3"/>
        <v>0</v>
      </c>
    </row>
    <row r="44" spans="1:21" s="63" customFormat="1" ht="18" customHeight="1">
      <c r="A44" s="64" t="s">
        <v>245</v>
      </c>
      <c r="B44" s="64" t="s">
        <v>174</v>
      </c>
      <c r="C44" s="122">
        <f>D44+E44</f>
        <v>116</v>
      </c>
      <c r="D44" s="122">
        <v>100</v>
      </c>
      <c r="E44" s="122">
        <v>16</v>
      </c>
      <c r="F44" s="122">
        <v>0</v>
      </c>
      <c r="G44" s="122">
        <v>0</v>
      </c>
      <c r="H44" s="122">
        <f>I44+Q44</f>
        <v>116</v>
      </c>
      <c r="I44" s="122">
        <f>J44+K44+L44+M44+N44+O44+P44</f>
        <v>55</v>
      </c>
      <c r="J44" s="122">
        <v>11</v>
      </c>
      <c r="K44" s="122">
        <v>0</v>
      </c>
      <c r="L44" s="122">
        <v>44</v>
      </c>
      <c r="M44" s="122">
        <v>0</v>
      </c>
      <c r="N44" s="122">
        <v>0</v>
      </c>
      <c r="O44" s="122">
        <v>0</v>
      </c>
      <c r="P44" s="124">
        <v>0</v>
      </c>
      <c r="Q44" s="125">
        <v>61</v>
      </c>
      <c r="R44" s="127">
        <f t="shared" si="5"/>
        <v>105</v>
      </c>
      <c r="S44" s="121">
        <f t="shared" si="6"/>
        <v>20</v>
      </c>
      <c r="T44" s="63">
        <f t="shared" si="2"/>
        <v>0</v>
      </c>
      <c r="U44" s="114">
        <f t="shared" si="3"/>
        <v>0</v>
      </c>
    </row>
    <row r="45" spans="1:21" s="66" customFormat="1" ht="18" customHeight="1">
      <c r="A45" s="65">
        <v>4</v>
      </c>
      <c r="B45" s="67" t="s">
        <v>110</v>
      </c>
      <c r="C45" s="127">
        <f>C46+C47</f>
        <v>0</v>
      </c>
      <c r="D45" s="127">
        <f aca="true" t="shared" si="15" ref="D45:Q45">D46+D47</f>
        <v>0</v>
      </c>
      <c r="E45" s="127">
        <f t="shared" si="15"/>
        <v>0</v>
      </c>
      <c r="F45" s="127">
        <f t="shared" si="15"/>
        <v>0</v>
      </c>
      <c r="G45" s="127">
        <f t="shared" si="15"/>
        <v>0</v>
      </c>
      <c r="H45" s="127">
        <f t="shared" si="15"/>
        <v>0</v>
      </c>
      <c r="I45" s="127">
        <f>J45+K45+L45+M45+N45+O45+P45</f>
        <v>0</v>
      </c>
      <c r="J45" s="127">
        <f t="shared" si="15"/>
        <v>0</v>
      </c>
      <c r="K45" s="127">
        <f t="shared" si="15"/>
        <v>0</v>
      </c>
      <c r="L45" s="127">
        <f t="shared" si="15"/>
        <v>0</v>
      </c>
      <c r="M45" s="127">
        <f t="shared" si="15"/>
        <v>0</v>
      </c>
      <c r="N45" s="127">
        <f t="shared" si="15"/>
        <v>0</v>
      </c>
      <c r="O45" s="127">
        <f t="shared" si="15"/>
        <v>0</v>
      </c>
      <c r="P45" s="127">
        <f t="shared" si="15"/>
        <v>0</v>
      </c>
      <c r="Q45" s="127">
        <f t="shared" si="15"/>
        <v>0</v>
      </c>
      <c r="R45" s="127">
        <f t="shared" si="5"/>
        <v>0</v>
      </c>
      <c r="S45" s="121" t="e">
        <f t="shared" si="6"/>
        <v>#DIV/0!</v>
      </c>
      <c r="T45" s="66">
        <f t="shared" si="2"/>
        <v>0</v>
      </c>
      <c r="U45" s="114">
        <f t="shared" si="3"/>
        <v>0</v>
      </c>
    </row>
    <row r="46" spans="1:21" s="63" customFormat="1" ht="18" customHeight="1">
      <c r="A46" s="64" t="s">
        <v>266</v>
      </c>
      <c r="B46" s="102" t="s">
        <v>111</v>
      </c>
      <c r="C46" s="122">
        <f>D46+E46</f>
        <v>0</v>
      </c>
      <c r="D46" s="122"/>
      <c r="E46" s="122"/>
      <c r="F46" s="122"/>
      <c r="G46" s="122"/>
      <c r="H46" s="122">
        <f>I46+Q46</f>
        <v>0</v>
      </c>
      <c r="I46" s="122">
        <f>J46+K46+L46+M46+N46+O46+P46</f>
        <v>0</v>
      </c>
      <c r="J46" s="122"/>
      <c r="K46" s="122"/>
      <c r="L46" s="124"/>
      <c r="M46" s="124"/>
      <c r="N46" s="124"/>
      <c r="O46" s="125"/>
      <c r="P46" s="125"/>
      <c r="Q46" s="125"/>
      <c r="R46" s="127">
        <f t="shared" si="5"/>
        <v>0</v>
      </c>
      <c r="S46" s="121" t="e">
        <f t="shared" si="6"/>
        <v>#DIV/0!</v>
      </c>
      <c r="T46" s="63">
        <f t="shared" si="2"/>
        <v>0</v>
      </c>
      <c r="U46" s="114">
        <f t="shared" si="3"/>
        <v>0</v>
      </c>
    </row>
    <row r="47" spans="1:21" s="63" customFormat="1" ht="18" customHeight="1">
      <c r="A47" s="64" t="s">
        <v>267</v>
      </c>
      <c r="B47" s="102" t="s">
        <v>108</v>
      </c>
      <c r="C47" s="122">
        <f>D47+E47</f>
        <v>0</v>
      </c>
      <c r="D47" s="122"/>
      <c r="E47" s="122"/>
      <c r="F47" s="122"/>
      <c r="G47" s="122"/>
      <c r="H47" s="122">
        <f>I47+Q47</f>
        <v>0</v>
      </c>
      <c r="I47" s="122">
        <f>J47+K47+L47+M47+N47+O47+P47</f>
        <v>0</v>
      </c>
      <c r="J47" s="122"/>
      <c r="K47" s="122"/>
      <c r="L47" s="124"/>
      <c r="M47" s="124"/>
      <c r="N47" s="124"/>
      <c r="O47" s="125"/>
      <c r="P47" s="125"/>
      <c r="Q47" s="125"/>
      <c r="R47" s="127">
        <f t="shared" si="5"/>
        <v>0</v>
      </c>
      <c r="S47" s="121" t="e">
        <f t="shared" si="6"/>
        <v>#DIV/0!</v>
      </c>
      <c r="T47" s="63">
        <f t="shared" si="2"/>
        <v>0</v>
      </c>
      <c r="U47" s="114">
        <f t="shared" si="3"/>
        <v>0</v>
      </c>
    </row>
    <row r="48" spans="1:21" s="66" customFormat="1" ht="18" customHeight="1">
      <c r="A48" s="65">
        <v>5</v>
      </c>
      <c r="B48" s="67" t="s">
        <v>112</v>
      </c>
      <c r="C48" s="127">
        <f>SUM(C49:C56)</f>
        <v>1998</v>
      </c>
      <c r="D48" s="127">
        <f aca="true" t="shared" si="16" ref="D48:Q48">SUM(D49:D56)</f>
        <v>1759</v>
      </c>
      <c r="E48" s="127">
        <f t="shared" si="16"/>
        <v>239</v>
      </c>
      <c r="F48" s="127">
        <f t="shared" si="16"/>
        <v>4</v>
      </c>
      <c r="G48" s="127">
        <f t="shared" si="16"/>
        <v>0</v>
      </c>
      <c r="H48" s="127">
        <f t="shared" si="16"/>
        <v>1994</v>
      </c>
      <c r="I48" s="127">
        <f t="shared" si="16"/>
        <v>548</v>
      </c>
      <c r="J48" s="127">
        <f t="shared" si="16"/>
        <v>56</v>
      </c>
      <c r="K48" s="127">
        <f t="shared" si="16"/>
        <v>1</v>
      </c>
      <c r="L48" s="127">
        <f t="shared" si="16"/>
        <v>487</v>
      </c>
      <c r="M48" s="127">
        <f t="shared" si="16"/>
        <v>2</v>
      </c>
      <c r="N48" s="127">
        <f t="shared" si="16"/>
        <v>0</v>
      </c>
      <c r="O48" s="127">
        <f t="shared" si="16"/>
        <v>0</v>
      </c>
      <c r="P48" s="127">
        <f t="shared" si="16"/>
        <v>2</v>
      </c>
      <c r="Q48" s="127">
        <f t="shared" si="16"/>
        <v>1446</v>
      </c>
      <c r="R48" s="127">
        <f t="shared" si="5"/>
        <v>1937</v>
      </c>
      <c r="S48" s="121">
        <f t="shared" si="6"/>
        <v>10.401459854014599</v>
      </c>
      <c r="T48" s="66">
        <f t="shared" si="2"/>
        <v>0</v>
      </c>
      <c r="U48" s="114">
        <f t="shared" si="3"/>
        <v>0</v>
      </c>
    </row>
    <row r="49" spans="1:21" s="63" customFormat="1" ht="18" customHeight="1">
      <c r="A49" s="64" t="s">
        <v>61</v>
      </c>
      <c r="B49" s="112" t="s">
        <v>113</v>
      </c>
      <c r="C49" s="129">
        <f>D49+E49</f>
        <v>6</v>
      </c>
      <c r="D49" s="129">
        <v>1</v>
      </c>
      <c r="E49" s="113">
        <v>5</v>
      </c>
      <c r="F49" s="113">
        <v>0</v>
      </c>
      <c r="G49" s="113">
        <v>0</v>
      </c>
      <c r="H49" s="129">
        <f>I49+Q49</f>
        <v>6</v>
      </c>
      <c r="I49" s="129">
        <f aca="true" t="shared" si="17" ref="I49:I56">J49+K49+L49+M49+N49+O49+P49</f>
        <v>6</v>
      </c>
      <c r="J49" s="113">
        <v>5</v>
      </c>
      <c r="K49" s="113">
        <v>0</v>
      </c>
      <c r="L49" s="130">
        <v>1</v>
      </c>
      <c r="M49" s="113">
        <v>0</v>
      </c>
      <c r="N49" s="113">
        <v>0</v>
      </c>
      <c r="O49" s="113">
        <v>0</v>
      </c>
      <c r="P49" s="113">
        <v>0</v>
      </c>
      <c r="Q49" s="131">
        <f aca="true" t="shared" si="18" ref="Q49:Q56">C49-F49-I49</f>
        <v>0</v>
      </c>
      <c r="R49" s="127">
        <f t="shared" si="5"/>
        <v>1</v>
      </c>
      <c r="S49" s="121">
        <f t="shared" si="6"/>
        <v>83.33333333333334</v>
      </c>
      <c r="T49" s="63">
        <f t="shared" si="2"/>
        <v>0</v>
      </c>
      <c r="U49" s="114">
        <f t="shared" si="3"/>
        <v>0</v>
      </c>
    </row>
    <row r="50" spans="1:21" s="63" customFormat="1" ht="18" customHeight="1">
      <c r="A50" s="64" t="s">
        <v>62</v>
      </c>
      <c r="B50" s="112" t="s">
        <v>199</v>
      </c>
      <c r="C50" s="129">
        <f>D50+E50</f>
        <v>241</v>
      </c>
      <c r="D50" s="129">
        <v>80</v>
      </c>
      <c r="E50" s="113">
        <f>111+50</f>
        <v>161</v>
      </c>
      <c r="F50" s="113">
        <v>0</v>
      </c>
      <c r="G50" s="113">
        <v>0</v>
      </c>
      <c r="H50" s="129">
        <f>I50+Q50</f>
        <v>241</v>
      </c>
      <c r="I50" s="129">
        <f t="shared" si="17"/>
        <v>95</v>
      </c>
      <c r="J50" s="113">
        <v>10</v>
      </c>
      <c r="K50" s="113">
        <v>0</v>
      </c>
      <c r="L50" s="130">
        <v>81</v>
      </c>
      <c r="M50" s="113">
        <v>2</v>
      </c>
      <c r="N50" s="113">
        <v>0</v>
      </c>
      <c r="O50" s="113">
        <v>0</v>
      </c>
      <c r="P50" s="113">
        <v>2</v>
      </c>
      <c r="Q50" s="131">
        <f t="shared" si="18"/>
        <v>146</v>
      </c>
      <c r="R50" s="127">
        <f t="shared" si="5"/>
        <v>231</v>
      </c>
      <c r="S50" s="121">
        <f t="shared" si="6"/>
        <v>10.526315789473683</v>
      </c>
      <c r="T50" s="63">
        <f t="shared" si="2"/>
        <v>0</v>
      </c>
      <c r="U50" s="114">
        <f t="shared" si="3"/>
        <v>0</v>
      </c>
    </row>
    <row r="51" spans="1:21" s="63" customFormat="1" ht="18" customHeight="1">
      <c r="A51" s="64" t="s">
        <v>63</v>
      </c>
      <c r="B51" s="112" t="s">
        <v>200</v>
      </c>
      <c r="C51" s="129">
        <f aca="true" t="shared" si="19" ref="C51:C56">D51+E51</f>
        <v>284</v>
      </c>
      <c r="D51" s="129">
        <v>273</v>
      </c>
      <c r="E51" s="113">
        <v>11</v>
      </c>
      <c r="F51" s="113">
        <v>1</v>
      </c>
      <c r="G51" s="113">
        <v>0</v>
      </c>
      <c r="H51" s="129">
        <f aca="true" t="shared" si="20" ref="H51:H56">I51+Q51</f>
        <v>283</v>
      </c>
      <c r="I51" s="129">
        <f t="shared" si="17"/>
        <v>96</v>
      </c>
      <c r="J51" s="113">
        <v>7</v>
      </c>
      <c r="K51" s="113">
        <v>0</v>
      </c>
      <c r="L51" s="130">
        <v>89</v>
      </c>
      <c r="M51" s="113">
        <v>0</v>
      </c>
      <c r="N51" s="113">
        <v>0</v>
      </c>
      <c r="O51" s="113">
        <v>0</v>
      </c>
      <c r="P51" s="113">
        <v>0</v>
      </c>
      <c r="Q51" s="131">
        <f t="shared" si="18"/>
        <v>187</v>
      </c>
      <c r="R51" s="127">
        <f t="shared" si="5"/>
        <v>276</v>
      </c>
      <c r="S51" s="121">
        <f t="shared" si="6"/>
        <v>7.291666666666667</v>
      </c>
      <c r="T51" s="63">
        <f t="shared" si="2"/>
        <v>0</v>
      </c>
      <c r="U51" s="114">
        <f t="shared" si="3"/>
        <v>0</v>
      </c>
    </row>
    <row r="52" spans="1:21" s="63" customFormat="1" ht="18" customHeight="1">
      <c r="A52" s="64" t="s">
        <v>114</v>
      </c>
      <c r="B52" s="112" t="s">
        <v>201</v>
      </c>
      <c r="C52" s="129">
        <f t="shared" si="19"/>
        <v>190</v>
      </c>
      <c r="D52" s="129">
        <v>180</v>
      </c>
      <c r="E52" s="113">
        <v>10</v>
      </c>
      <c r="F52" s="113">
        <v>3</v>
      </c>
      <c r="G52" s="113">
        <v>0</v>
      </c>
      <c r="H52" s="129">
        <f>I52+Q52</f>
        <v>187</v>
      </c>
      <c r="I52" s="129">
        <f t="shared" si="17"/>
        <v>58</v>
      </c>
      <c r="J52" s="113">
        <v>23</v>
      </c>
      <c r="K52" s="113">
        <v>1</v>
      </c>
      <c r="L52" s="130">
        <v>34</v>
      </c>
      <c r="M52" s="113">
        <v>0</v>
      </c>
      <c r="N52" s="113">
        <v>0</v>
      </c>
      <c r="O52" s="113">
        <v>0</v>
      </c>
      <c r="P52" s="113">
        <v>0</v>
      </c>
      <c r="Q52" s="131">
        <f t="shared" si="18"/>
        <v>129</v>
      </c>
      <c r="R52" s="127">
        <f t="shared" si="5"/>
        <v>163</v>
      </c>
      <c r="S52" s="121">
        <f t="shared" si="6"/>
        <v>41.37931034482759</v>
      </c>
      <c r="T52" s="63">
        <f t="shared" si="2"/>
        <v>0</v>
      </c>
      <c r="U52" s="114">
        <f t="shared" si="3"/>
        <v>0</v>
      </c>
    </row>
    <row r="53" spans="1:21" s="63" customFormat="1" ht="18" customHeight="1">
      <c r="A53" s="64" t="s">
        <v>115</v>
      </c>
      <c r="B53" s="112" t="s">
        <v>116</v>
      </c>
      <c r="C53" s="129">
        <f>D53+E53</f>
        <v>371</v>
      </c>
      <c r="D53" s="129">
        <v>355</v>
      </c>
      <c r="E53" s="113">
        <v>16</v>
      </c>
      <c r="F53" s="113">
        <v>0</v>
      </c>
      <c r="G53" s="113">
        <v>0</v>
      </c>
      <c r="H53" s="129">
        <f t="shared" si="20"/>
        <v>371</v>
      </c>
      <c r="I53" s="129">
        <f t="shared" si="17"/>
        <v>96</v>
      </c>
      <c r="J53" s="113">
        <v>4</v>
      </c>
      <c r="K53" s="113">
        <v>0</v>
      </c>
      <c r="L53" s="130">
        <v>92</v>
      </c>
      <c r="M53" s="113">
        <v>0</v>
      </c>
      <c r="N53" s="113">
        <v>0</v>
      </c>
      <c r="O53" s="113">
        <v>0</v>
      </c>
      <c r="P53" s="113">
        <v>0</v>
      </c>
      <c r="Q53" s="131">
        <f t="shared" si="18"/>
        <v>275</v>
      </c>
      <c r="R53" s="127">
        <f t="shared" si="5"/>
        <v>367</v>
      </c>
      <c r="S53" s="121">
        <f t="shared" si="6"/>
        <v>4.166666666666666</v>
      </c>
      <c r="T53" s="63">
        <f t="shared" si="2"/>
        <v>0</v>
      </c>
      <c r="U53" s="114">
        <f t="shared" si="3"/>
        <v>0</v>
      </c>
    </row>
    <row r="54" spans="1:21" s="63" customFormat="1" ht="18" customHeight="1">
      <c r="A54" s="64" t="s">
        <v>117</v>
      </c>
      <c r="B54" s="112" t="s">
        <v>202</v>
      </c>
      <c r="C54" s="129">
        <f t="shared" si="19"/>
        <v>440</v>
      </c>
      <c r="D54" s="129">
        <v>419</v>
      </c>
      <c r="E54" s="113">
        <v>21</v>
      </c>
      <c r="F54" s="113">
        <v>0</v>
      </c>
      <c r="G54" s="113">
        <v>0</v>
      </c>
      <c r="H54" s="129">
        <f t="shared" si="20"/>
        <v>440</v>
      </c>
      <c r="I54" s="129">
        <f t="shared" si="17"/>
        <v>93</v>
      </c>
      <c r="J54" s="113">
        <v>3</v>
      </c>
      <c r="K54" s="113">
        <v>0</v>
      </c>
      <c r="L54" s="130">
        <v>90</v>
      </c>
      <c r="M54" s="113">
        <v>0</v>
      </c>
      <c r="N54" s="113">
        <v>0</v>
      </c>
      <c r="O54" s="113">
        <v>0</v>
      </c>
      <c r="P54" s="113">
        <v>0</v>
      </c>
      <c r="Q54" s="131">
        <f t="shared" si="18"/>
        <v>347</v>
      </c>
      <c r="R54" s="127">
        <f t="shared" si="5"/>
        <v>437</v>
      </c>
      <c r="S54" s="121">
        <f t="shared" si="6"/>
        <v>3.225806451612903</v>
      </c>
      <c r="T54" s="63">
        <f t="shared" si="2"/>
        <v>0</v>
      </c>
      <c r="U54" s="114">
        <f t="shared" si="3"/>
        <v>0</v>
      </c>
    </row>
    <row r="55" spans="1:21" s="63" customFormat="1" ht="18" customHeight="1">
      <c r="A55" s="64" t="s">
        <v>118</v>
      </c>
      <c r="B55" s="112" t="s">
        <v>203</v>
      </c>
      <c r="C55" s="129">
        <f t="shared" si="19"/>
        <v>369</v>
      </c>
      <c r="D55" s="129">
        <v>358</v>
      </c>
      <c r="E55" s="113">
        <v>11</v>
      </c>
      <c r="F55" s="113">
        <v>0</v>
      </c>
      <c r="G55" s="113">
        <v>0</v>
      </c>
      <c r="H55" s="129">
        <f t="shared" si="20"/>
        <v>369</v>
      </c>
      <c r="I55" s="129">
        <f t="shared" si="17"/>
        <v>89</v>
      </c>
      <c r="J55" s="113">
        <v>2</v>
      </c>
      <c r="K55" s="113">
        <v>0</v>
      </c>
      <c r="L55" s="130">
        <v>87</v>
      </c>
      <c r="M55" s="113">
        <v>0</v>
      </c>
      <c r="N55" s="113">
        <v>0</v>
      </c>
      <c r="O55" s="113">
        <v>0</v>
      </c>
      <c r="P55" s="113">
        <v>0</v>
      </c>
      <c r="Q55" s="131">
        <f t="shared" si="18"/>
        <v>280</v>
      </c>
      <c r="R55" s="127">
        <f t="shared" si="5"/>
        <v>367</v>
      </c>
      <c r="S55" s="121">
        <f t="shared" si="6"/>
        <v>2.247191011235955</v>
      </c>
      <c r="T55" s="63">
        <f t="shared" si="2"/>
        <v>0</v>
      </c>
      <c r="U55" s="114">
        <f t="shared" si="3"/>
        <v>0</v>
      </c>
    </row>
    <row r="56" spans="1:21" s="63" customFormat="1" ht="18" customHeight="1">
      <c r="A56" s="64" t="s">
        <v>119</v>
      </c>
      <c r="B56" s="112" t="s">
        <v>179</v>
      </c>
      <c r="C56" s="129">
        <f t="shared" si="19"/>
        <v>97</v>
      </c>
      <c r="D56" s="129">
        <v>93</v>
      </c>
      <c r="E56" s="113">
        <v>4</v>
      </c>
      <c r="F56" s="113">
        <v>0</v>
      </c>
      <c r="G56" s="113">
        <v>0</v>
      </c>
      <c r="H56" s="129">
        <f t="shared" si="20"/>
        <v>97</v>
      </c>
      <c r="I56" s="129">
        <f t="shared" si="17"/>
        <v>15</v>
      </c>
      <c r="J56" s="113">
        <v>2</v>
      </c>
      <c r="K56" s="113">
        <v>0</v>
      </c>
      <c r="L56" s="130">
        <v>13</v>
      </c>
      <c r="M56" s="113">
        <v>0</v>
      </c>
      <c r="N56" s="113">
        <v>0</v>
      </c>
      <c r="O56" s="113">
        <v>0</v>
      </c>
      <c r="P56" s="113">
        <v>0</v>
      </c>
      <c r="Q56" s="131">
        <f t="shared" si="18"/>
        <v>82</v>
      </c>
      <c r="R56" s="127">
        <f t="shared" si="5"/>
        <v>95</v>
      </c>
      <c r="S56" s="121">
        <f t="shared" si="6"/>
        <v>13.333333333333334</v>
      </c>
      <c r="T56" s="63">
        <f t="shared" si="2"/>
        <v>0</v>
      </c>
      <c r="U56" s="114">
        <f t="shared" si="3"/>
        <v>0</v>
      </c>
    </row>
    <row r="57" spans="1:21" s="66" customFormat="1" ht="18" customHeight="1">
      <c r="A57" s="65">
        <v>6</v>
      </c>
      <c r="B57" s="67" t="s">
        <v>120</v>
      </c>
      <c r="C57" s="127">
        <f>SUM(C58:C61)</f>
        <v>470</v>
      </c>
      <c r="D57" s="127">
        <f aca="true" t="shared" si="21" ref="D57:Q57">SUM(D58:D61)</f>
        <v>365</v>
      </c>
      <c r="E57" s="127">
        <f t="shared" si="21"/>
        <v>105</v>
      </c>
      <c r="F57" s="127">
        <f t="shared" si="21"/>
        <v>0</v>
      </c>
      <c r="G57" s="127">
        <f t="shared" si="21"/>
        <v>0</v>
      </c>
      <c r="H57" s="127">
        <f t="shared" si="21"/>
        <v>470</v>
      </c>
      <c r="I57" s="127">
        <f>J57+K57+L57+M57+N57+O57+P57</f>
        <v>217</v>
      </c>
      <c r="J57" s="127">
        <f t="shared" si="21"/>
        <v>80</v>
      </c>
      <c r="K57" s="127">
        <f t="shared" si="21"/>
        <v>0</v>
      </c>
      <c r="L57" s="127">
        <f t="shared" si="21"/>
        <v>132</v>
      </c>
      <c r="M57" s="127">
        <f t="shared" si="21"/>
        <v>4</v>
      </c>
      <c r="N57" s="127">
        <f t="shared" si="21"/>
        <v>0</v>
      </c>
      <c r="O57" s="127">
        <f t="shared" si="21"/>
        <v>0</v>
      </c>
      <c r="P57" s="127">
        <f t="shared" si="21"/>
        <v>1</v>
      </c>
      <c r="Q57" s="127">
        <f t="shared" si="21"/>
        <v>253</v>
      </c>
      <c r="R57" s="127">
        <f t="shared" si="5"/>
        <v>390</v>
      </c>
      <c r="S57" s="121">
        <f t="shared" si="6"/>
        <v>36.86635944700461</v>
      </c>
      <c r="T57" s="66">
        <f t="shared" si="2"/>
        <v>0</v>
      </c>
      <c r="U57" s="114">
        <f t="shared" si="3"/>
        <v>0</v>
      </c>
    </row>
    <row r="58" spans="1:21" s="63" customFormat="1" ht="18" customHeight="1">
      <c r="A58" s="64" t="s">
        <v>246</v>
      </c>
      <c r="B58" s="64" t="s">
        <v>209</v>
      </c>
      <c r="C58" s="122">
        <f>D58+E58</f>
        <v>50</v>
      </c>
      <c r="D58" s="122">
        <v>34</v>
      </c>
      <c r="E58" s="122">
        <v>16</v>
      </c>
      <c r="F58" s="122"/>
      <c r="G58" s="122"/>
      <c r="H58" s="122">
        <f>I58+Q58</f>
        <v>50</v>
      </c>
      <c r="I58" s="122">
        <f>J58+K58+L58+M58+N58+O58+P58</f>
        <v>34</v>
      </c>
      <c r="J58" s="122">
        <v>7</v>
      </c>
      <c r="K58" s="122"/>
      <c r="L58" s="124">
        <v>27</v>
      </c>
      <c r="M58" s="124"/>
      <c r="N58" s="125"/>
      <c r="O58" s="125"/>
      <c r="P58" s="125"/>
      <c r="Q58" s="125">
        <v>16</v>
      </c>
      <c r="R58" s="127">
        <f t="shared" si="5"/>
        <v>43</v>
      </c>
      <c r="S58" s="121">
        <f t="shared" si="6"/>
        <v>20.588235294117645</v>
      </c>
      <c r="T58" s="63">
        <f t="shared" si="2"/>
        <v>0</v>
      </c>
      <c r="U58" s="114">
        <f t="shared" si="3"/>
        <v>0</v>
      </c>
    </row>
    <row r="59" spans="1:21" s="63" customFormat="1" ht="18" customHeight="1">
      <c r="A59" s="64" t="s">
        <v>247</v>
      </c>
      <c r="B59" s="64" t="s">
        <v>210</v>
      </c>
      <c r="C59" s="122">
        <f>D59+E59</f>
        <v>97</v>
      </c>
      <c r="D59" s="122">
        <v>81</v>
      </c>
      <c r="E59" s="122">
        <v>16</v>
      </c>
      <c r="F59" s="122"/>
      <c r="G59" s="122"/>
      <c r="H59" s="122">
        <f>I59+Q59</f>
        <v>97</v>
      </c>
      <c r="I59" s="122">
        <f>J59+K59+L59+M59+N59+O59+P59</f>
        <v>34</v>
      </c>
      <c r="J59" s="122">
        <v>11</v>
      </c>
      <c r="K59" s="122"/>
      <c r="L59" s="124">
        <v>23</v>
      </c>
      <c r="M59" s="124"/>
      <c r="N59" s="125"/>
      <c r="O59" s="125"/>
      <c r="P59" s="125"/>
      <c r="Q59" s="125">
        <v>63</v>
      </c>
      <c r="R59" s="127">
        <f t="shared" si="5"/>
        <v>86</v>
      </c>
      <c r="S59" s="121">
        <f t="shared" si="6"/>
        <v>32.35294117647059</v>
      </c>
      <c r="T59" s="63">
        <f t="shared" si="2"/>
        <v>0</v>
      </c>
      <c r="U59" s="114">
        <f t="shared" si="3"/>
        <v>0</v>
      </c>
    </row>
    <row r="60" spans="1:21" s="63" customFormat="1" ht="18" customHeight="1">
      <c r="A60" s="64" t="s">
        <v>248</v>
      </c>
      <c r="B60" s="64" t="s">
        <v>121</v>
      </c>
      <c r="C60" s="122">
        <f>D60+E60</f>
        <v>153</v>
      </c>
      <c r="D60" s="122">
        <v>109</v>
      </c>
      <c r="E60" s="122">
        <v>44</v>
      </c>
      <c r="F60" s="122"/>
      <c r="G60" s="122"/>
      <c r="H60" s="122">
        <f>I60+Q60</f>
        <v>153</v>
      </c>
      <c r="I60" s="122">
        <f>J60+K60+L60+M60+N60+O60+P60</f>
        <v>86</v>
      </c>
      <c r="J60" s="122">
        <v>33</v>
      </c>
      <c r="K60" s="122"/>
      <c r="L60" s="124">
        <v>50</v>
      </c>
      <c r="M60" s="124">
        <v>2</v>
      </c>
      <c r="N60" s="125"/>
      <c r="O60" s="125"/>
      <c r="P60" s="125">
        <v>1</v>
      </c>
      <c r="Q60" s="125">
        <v>67</v>
      </c>
      <c r="R60" s="127">
        <f t="shared" si="5"/>
        <v>120</v>
      </c>
      <c r="S60" s="121">
        <f t="shared" si="6"/>
        <v>38.372093023255815</v>
      </c>
      <c r="T60" s="63">
        <f t="shared" si="2"/>
        <v>0</v>
      </c>
      <c r="U60" s="114">
        <f t="shared" si="3"/>
        <v>0</v>
      </c>
    </row>
    <row r="61" spans="1:21" s="63" customFormat="1" ht="18" customHeight="1">
      <c r="A61" s="64" t="s">
        <v>249</v>
      </c>
      <c r="B61" s="64" t="s">
        <v>178</v>
      </c>
      <c r="C61" s="122">
        <f>D61+E61</f>
        <v>170</v>
      </c>
      <c r="D61" s="122">
        <v>141</v>
      </c>
      <c r="E61" s="122">
        <v>29</v>
      </c>
      <c r="F61" s="122"/>
      <c r="G61" s="122"/>
      <c r="H61" s="122">
        <f>I61+Q61</f>
        <v>170</v>
      </c>
      <c r="I61" s="122">
        <f>J61+K61+L61+M61+N61+O61+P61</f>
        <v>63</v>
      </c>
      <c r="J61" s="122">
        <v>29</v>
      </c>
      <c r="K61" s="122"/>
      <c r="L61" s="124">
        <v>32</v>
      </c>
      <c r="M61" s="124">
        <v>2</v>
      </c>
      <c r="N61" s="125"/>
      <c r="O61" s="125"/>
      <c r="P61" s="125"/>
      <c r="Q61" s="125">
        <v>107</v>
      </c>
      <c r="R61" s="127">
        <f t="shared" si="5"/>
        <v>141</v>
      </c>
      <c r="S61" s="121">
        <f t="shared" si="6"/>
        <v>46.03174603174603</v>
      </c>
      <c r="T61" s="63">
        <f t="shared" si="2"/>
        <v>0</v>
      </c>
      <c r="U61" s="114">
        <f t="shared" si="3"/>
        <v>0</v>
      </c>
    </row>
    <row r="62" spans="1:21" s="66" customFormat="1" ht="18" customHeight="1">
      <c r="A62" s="65">
        <v>7</v>
      </c>
      <c r="B62" s="67" t="s">
        <v>122</v>
      </c>
      <c r="C62" s="127">
        <f>SUM(C63:C69)</f>
        <v>782</v>
      </c>
      <c r="D62" s="127">
        <f aca="true" t="shared" si="22" ref="D62:R62">SUM(D63:D69)</f>
        <v>673</v>
      </c>
      <c r="E62" s="127">
        <f t="shared" si="22"/>
        <v>109</v>
      </c>
      <c r="F62" s="127">
        <f t="shared" si="22"/>
        <v>7</v>
      </c>
      <c r="G62" s="127">
        <f t="shared" si="22"/>
        <v>2</v>
      </c>
      <c r="H62" s="127">
        <f t="shared" si="22"/>
        <v>775</v>
      </c>
      <c r="I62" s="127">
        <f t="shared" si="22"/>
        <v>324</v>
      </c>
      <c r="J62" s="127">
        <f t="shared" si="22"/>
        <v>84</v>
      </c>
      <c r="K62" s="127">
        <f t="shared" si="22"/>
        <v>19</v>
      </c>
      <c r="L62" s="127">
        <f t="shared" si="22"/>
        <v>218</v>
      </c>
      <c r="M62" s="127">
        <f t="shared" si="22"/>
        <v>0</v>
      </c>
      <c r="N62" s="127">
        <f t="shared" si="22"/>
        <v>2</v>
      </c>
      <c r="O62" s="127">
        <f t="shared" si="22"/>
        <v>0</v>
      </c>
      <c r="P62" s="127">
        <f t="shared" si="22"/>
        <v>1</v>
      </c>
      <c r="Q62" s="127">
        <f t="shared" si="22"/>
        <v>451</v>
      </c>
      <c r="R62" s="127">
        <f t="shared" si="22"/>
        <v>672</v>
      </c>
      <c r="S62" s="121">
        <f t="shared" si="6"/>
        <v>31.790123456790127</v>
      </c>
      <c r="T62" s="66">
        <f t="shared" si="2"/>
        <v>0</v>
      </c>
      <c r="U62" s="114">
        <f t="shared" si="3"/>
        <v>0</v>
      </c>
    </row>
    <row r="63" spans="1:21" s="63" customFormat="1" ht="18" customHeight="1">
      <c r="A63" s="64" t="s">
        <v>226</v>
      </c>
      <c r="B63" s="64" t="s">
        <v>221</v>
      </c>
      <c r="C63" s="123">
        <f>D63+E63</f>
        <v>14</v>
      </c>
      <c r="D63" s="123">
        <v>9</v>
      </c>
      <c r="E63" s="123">
        <v>5</v>
      </c>
      <c r="F63" s="123"/>
      <c r="G63" s="123"/>
      <c r="H63" s="123">
        <f>I63+Q63</f>
        <v>14</v>
      </c>
      <c r="I63" s="123">
        <f>SUM(J63:P63)</f>
        <v>14</v>
      </c>
      <c r="J63" s="123">
        <v>4</v>
      </c>
      <c r="K63" s="123">
        <v>1</v>
      </c>
      <c r="L63" s="123">
        <v>9</v>
      </c>
      <c r="M63" s="123"/>
      <c r="N63" s="123"/>
      <c r="O63" s="123"/>
      <c r="P63" s="132"/>
      <c r="Q63" s="133">
        <v>0</v>
      </c>
      <c r="R63" s="127">
        <f t="shared" si="5"/>
        <v>9</v>
      </c>
      <c r="S63" s="121">
        <f t="shared" si="6"/>
        <v>35.714285714285715</v>
      </c>
      <c r="T63" s="63">
        <f t="shared" si="2"/>
        <v>0</v>
      </c>
      <c r="U63" s="114">
        <f t="shared" si="3"/>
        <v>0</v>
      </c>
    </row>
    <row r="64" spans="1:21" s="63" customFormat="1" ht="18" customHeight="1">
      <c r="A64" s="64" t="s">
        <v>227</v>
      </c>
      <c r="B64" s="64" t="s">
        <v>222</v>
      </c>
      <c r="C64" s="123">
        <f aca="true" t="shared" si="23" ref="C64:C69">D64+E64</f>
        <v>131</v>
      </c>
      <c r="D64" s="123">
        <v>113</v>
      </c>
      <c r="E64" s="123">
        <v>18</v>
      </c>
      <c r="F64" s="123">
        <v>1</v>
      </c>
      <c r="G64" s="123"/>
      <c r="H64" s="123">
        <f aca="true" t="shared" si="24" ref="H64:H69">I64+Q64</f>
        <v>130</v>
      </c>
      <c r="I64" s="123">
        <f aca="true" t="shared" si="25" ref="I64:I69">SUM(J64:P64)</f>
        <v>52</v>
      </c>
      <c r="J64" s="123">
        <v>13</v>
      </c>
      <c r="K64" s="123">
        <v>6</v>
      </c>
      <c r="L64" s="123">
        <v>31</v>
      </c>
      <c r="M64" s="123"/>
      <c r="N64" s="123">
        <v>2</v>
      </c>
      <c r="O64" s="123"/>
      <c r="P64" s="132">
        <v>0</v>
      </c>
      <c r="Q64" s="133">
        <v>78</v>
      </c>
      <c r="R64" s="127">
        <f t="shared" si="5"/>
        <v>111</v>
      </c>
      <c r="S64" s="121">
        <f t="shared" si="6"/>
        <v>36.53846153846153</v>
      </c>
      <c r="T64" s="63">
        <f t="shared" si="2"/>
        <v>0</v>
      </c>
      <c r="U64" s="114">
        <f t="shared" si="3"/>
        <v>0</v>
      </c>
    </row>
    <row r="65" spans="1:21" s="63" customFormat="1" ht="18" customHeight="1">
      <c r="A65" s="64" t="s">
        <v>228</v>
      </c>
      <c r="B65" s="64" t="s">
        <v>223</v>
      </c>
      <c r="C65" s="123">
        <f t="shared" si="23"/>
        <v>164</v>
      </c>
      <c r="D65" s="123">
        <v>141</v>
      </c>
      <c r="E65" s="123">
        <v>23</v>
      </c>
      <c r="F65" s="123">
        <v>4</v>
      </c>
      <c r="G65" s="123"/>
      <c r="H65" s="123">
        <f t="shared" si="24"/>
        <v>160</v>
      </c>
      <c r="I65" s="123">
        <f t="shared" si="25"/>
        <v>69</v>
      </c>
      <c r="J65" s="123">
        <v>13</v>
      </c>
      <c r="K65" s="123">
        <v>3</v>
      </c>
      <c r="L65" s="123">
        <v>53</v>
      </c>
      <c r="M65" s="123"/>
      <c r="N65" s="123"/>
      <c r="O65" s="123"/>
      <c r="P65" s="132">
        <v>0</v>
      </c>
      <c r="Q65" s="133">
        <v>91</v>
      </c>
      <c r="R65" s="127">
        <f t="shared" si="5"/>
        <v>144</v>
      </c>
      <c r="S65" s="121">
        <f t="shared" si="6"/>
        <v>23.18840579710145</v>
      </c>
      <c r="T65" s="63">
        <f t="shared" si="2"/>
        <v>0</v>
      </c>
      <c r="U65" s="114">
        <f t="shared" si="3"/>
        <v>0</v>
      </c>
    </row>
    <row r="66" spans="1:21" s="63" customFormat="1" ht="18" customHeight="1">
      <c r="A66" s="64" t="s">
        <v>229</v>
      </c>
      <c r="B66" s="64" t="s">
        <v>180</v>
      </c>
      <c r="C66" s="123">
        <f t="shared" si="23"/>
        <v>6</v>
      </c>
      <c r="D66" s="123">
        <v>6</v>
      </c>
      <c r="E66" s="123">
        <v>0</v>
      </c>
      <c r="F66" s="123"/>
      <c r="G66" s="123"/>
      <c r="H66" s="123">
        <f t="shared" si="24"/>
        <v>6</v>
      </c>
      <c r="I66" s="123">
        <f t="shared" si="25"/>
        <v>6</v>
      </c>
      <c r="J66" s="123"/>
      <c r="K66" s="123"/>
      <c r="L66" s="123">
        <v>6</v>
      </c>
      <c r="M66" s="123"/>
      <c r="N66" s="123"/>
      <c r="O66" s="123"/>
      <c r="P66" s="132">
        <v>0</v>
      </c>
      <c r="Q66" s="133">
        <v>0</v>
      </c>
      <c r="R66" s="127">
        <f t="shared" si="5"/>
        <v>6</v>
      </c>
      <c r="S66" s="121">
        <f t="shared" si="6"/>
        <v>0</v>
      </c>
      <c r="T66" s="63">
        <f t="shared" si="2"/>
        <v>0</v>
      </c>
      <c r="U66" s="114">
        <f t="shared" si="3"/>
        <v>0</v>
      </c>
    </row>
    <row r="67" spans="1:21" s="63" customFormat="1" ht="18" customHeight="1">
      <c r="A67" s="64" t="s">
        <v>230</v>
      </c>
      <c r="B67" s="64" t="s">
        <v>181</v>
      </c>
      <c r="C67" s="123">
        <f t="shared" si="23"/>
        <v>152</v>
      </c>
      <c r="D67" s="123">
        <v>133</v>
      </c>
      <c r="E67" s="123">
        <v>19</v>
      </c>
      <c r="F67" s="123">
        <v>0</v>
      </c>
      <c r="G67" s="123">
        <v>0</v>
      </c>
      <c r="H67" s="123">
        <f t="shared" si="24"/>
        <v>152</v>
      </c>
      <c r="I67" s="123">
        <f t="shared" si="25"/>
        <v>67</v>
      </c>
      <c r="J67" s="123">
        <v>20</v>
      </c>
      <c r="K67" s="123">
        <v>3</v>
      </c>
      <c r="L67" s="123">
        <v>44</v>
      </c>
      <c r="M67" s="123"/>
      <c r="N67" s="123"/>
      <c r="O67" s="123"/>
      <c r="P67" s="132">
        <v>0</v>
      </c>
      <c r="Q67" s="133">
        <v>85</v>
      </c>
      <c r="R67" s="127">
        <f t="shared" si="5"/>
        <v>129</v>
      </c>
      <c r="S67" s="121">
        <f t="shared" si="6"/>
        <v>34.32835820895522</v>
      </c>
      <c r="T67" s="63">
        <f t="shared" si="2"/>
        <v>0</v>
      </c>
      <c r="U67" s="114">
        <f t="shared" si="3"/>
        <v>0</v>
      </c>
    </row>
    <row r="68" spans="1:21" s="63" customFormat="1" ht="18" customHeight="1">
      <c r="A68" s="64" t="s">
        <v>231</v>
      </c>
      <c r="B68" s="64" t="s">
        <v>224</v>
      </c>
      <c r="C68" s="123">
        <f t="shared" si="23"/>
        <v>144</v>
      </c>
      <c r="D68" s="123">
        <v>119</v>
      </c>
      <c r="E68" s="123">
        <v>25</v>
      </c>
      <c r="F68" s="123"/>
      <c r="G68" s="123"/>
      <c r="H68" s="123">
        <f t="shared" si="24"/>
        <v>144</v>
      </c>
      <c r="I68" s="123">
        <f t="shared" si="25"/>
        <v>61</v>
      </c>
      <c r="J68" s="123">
        <v>22</v>
      </c>
      <c r="K68" s="123"/>
      <c r="L68" s="123">
        <v>38</v>
      </c>
      <c r="M68" s="123"/>
      <c r="N68" s="123"/>
      <c r="O68" s="123"/>
      <c r="P68" s="132">
        <v>1</v>
      </c>
      <c r="Q68" s="133">
        <v>83</v>
      </c>
      <c r="R68" s="127">
        <f t="shared" si="5"/>
        <v>122</v>
      </c>
      <c r="S68" s="121">
        <f t="shared" si="6"/>
        <v>36.0655737704918</v>
      </c>
      <c r="T68" s="63">
        <f t="shared" si="2"/>
        <v>0</v>
      </c>
      <c r="U68" s="114">
        <f t="shared" si="3"/>
        <v>0</v>
      </c>
    </row>
    <row r="69" spans="1:22" s="63" customFormat="1" ht="18" customHeight="1">
      <c r="A69" s="64" t="s">
        <v>232</v>
      </c>
      <c r="B69" s="64" t="s">
        <v>225</v>
      </c>
      <c r="C69" s="123">
        <f t="shared" si="23"/>
        <v>171</v>
      </c>
      <c r="D69" s="123">
        <v>152</v>
      </c>
      <c r="E69" s="123">
        <v>19</v>
      </c>
      <c r="F69" s="123">
        <v>2</v>
      </c>
      <c r="G69" s="123">
        <v>2</v>
      </c>
      <c r="H69" s="123">
        <f t="shared" si="24"/>
        <v>169</v>
      </c>
      <c r="I69" s="123">
        <f t="shared" si="25"/>
        <v>55</v>
      </c>
      <c r="J69" s="123">
        <v>12</v>
      </c>
      <c r="K69" s="123">
        <v>6</v>
      </c>
      <c r="L69" s="123">
        <v>37</v>
      </c>
      <c r="M69" s="123"/>
      <c r="N69" s="123"/>
      <c r="O69" s="123"/>
      <c r="P69" s="132">
        <v>0</v>
      </c>
      <c r="Q69" s="133">
        <v>114</v>
      </c>
      <c r="R69" s="127">
        <f t="shared" si="5"/>
        <v>151</v>
      </c>
      <c r="S69" s="121">
        <f t="shared" si="6"/>
        <v>32.72727272727273</v>
      </c>
      <c r="T69" s="63">
        <f t="shared" si="2"/>
        <v>0</v>
      </c>
      <c r="U69" s="114">
        <f t="shared" si="3"/>
        <v>0</v>
      </c>
      <c r="V69" s="63">
        <f>D69+E69</f>
        <v>171</v>
      </c>
    </row>
    <row r="70" spans="1:21" s="66" customFormat="1" ht="18" customHeight="1">
      <c r="A70" s="65">
        <v>8</v>
      </c>
      <c r="B70" s="67" t="s">
        <v>123</v>
      </c>
      <c r="C70" s="127">
        <f>SUM(C71:C73)</f>
        <v>325</v>
      </c>
      <c r="D70" s="127">
        <f aca="true" t="shared" si="26" ref="D70:Q70">SUM(D71:D73)</f>
        <v>227</v>
      </c>
      <c r="E70" s="127">
        <f t="shared" si="26"/>
        <v>98</v>
      </c>
      <c r="F70" s="127">
        <f t="shared" si="26"/>
        <v>1</v>
      </c>
      <c r="G70" s="127">
        <f t="shared" si="26"/>
        <v>1</v>
      </c>
      <c r="H70" s="127">
        <f t="shared" si="26"/>
        <v>324</v>
      </c>
      <c r="I70" s="127">
        <f t="shared" si="26"/>
        <v>143</v>
      </c>
      <c r="J70" s="127">
        <f t="shared" si="26"/>
        <v>58</v>
      </c>
      <c r="K70" s="127">
        <f t="shared" si="26"/>
        <v>0</v>
      </c>
      <c r="L70" s="127">
        <f t="shared" si="26"/>
        <v>84</v>
      </c>
      <c r="M70" s="127">
        <f t="shared" si="26"/>
        <v>0</v>
      </c>
      <c r="N70" s="127">
        <f t="shared" si="26"/>
        <v>1</v>
      </c>
      <c r="O70" s="127">
        <f t="shared" si="26"/>
        <v>0</v>
      </c>
      <c r="P70" s="127">
        <f t="shared" si="26"/>
        <v>0</v>
      </c>
      <c r="Q70" s="127">
        <f t="shared" si="26"/>
        <v>181</v>
      </c>
      <c r="R70" s="127">
        <f t="shared" si="5"/>
        <v>266</v>
      </c>
      <c r="S70" s="121">
        <f t="shared" si="6"/>
        <v>40.55944055944056</v>
      </c>
      <c r="T70" s="66">
        <f t="shared" si="2"/>
        <v>0</v>
      </c>
      <c r="U70" s="114">
        <f t="shared" si="3"/>
        <v>0</v>
      </c>
    </row>
    <row r="71" spans="1:21" s="63" customFormat="1" ht="18" customHeight="1">
      <c r="A71" s="64" t="s">
        <v>124</v>
      </c>
      <c r="B71" s="104" t="s">
        <v>125</v>
      </c>
      <c r="C71" s="134">
        <f>D71+E71</f>
        <v>94</v>
      </c>
      <c r="D71" s="134">
        <v>53</v>
      </c>
      <c r="E71" s="134">
        <v>41</v>
      </c>
      <c r="F71" s="134">
        <v>1</v>
      </c>
      <c r="G71" s="134"/>
      <c r="H71" s="134">
        <f>I71+Q71</f>
        <v>93</v>
      </c>
      <c r="I71" s="134">
        <f>J71+K71+L71+M71+N71+O71+P71</f>
        <v>53</v>
      </c>
      <c r="J71" s="134">
        <v>26</v>
      </c>
      <c r="K71" s="134">
        <v>0</v>
      </c>
      <c r="L71" s="134">
        <v>27</v>
      </c>
      <c r="M71" s="134"/>
      <c r="N71" s="134"/>
      <c r="O71" s="134"/>
      <c r="P71" s="134"/>
      <c r="Q71" s="134">
        <v>40</v>
      </c>
      <c r="R71" s="127">
        <f t="shared" si="5"/>
        <v>67</v>
      </c>
      <c r="S71" s="121">
        <f t="shared" si="6"/>
        <v>49.056603773584904</v>
      </c>
      <c r="T71" s="63">
        <f t="shared" si="2"/>
        <v>0</v>
      </c>
      <c r="U71" s="114">
        <f t="shared" si="3"/>
        <v>0</v>
      </c>
    </row>
    <row r="72" spans="1:21" s="63" customFormat="1" ht="18" customHeight="1">
      <c r="A72" s="64" t="s">
        <v>126</v>
      </c>
      <c r="B72" s="105" t="s">
        <v>218</v>
      </c>
      <c r="C72" s="134">
        <f>D72+E72</f>
        <v>97</v>
      </c>
      <c r="D72" s="134">
        <v>64</v>
      </c>
      <c r="E72" s="134">
        <v>33</v>
      </c>
      <c r="F72" s="134">
        <v>0</v>
      </c>
      <c r="G72" s="134">
        <v>1</v>
      </c>
      <c r="H72" s="134">
        <f>I72+Q72</f>
        <v>97</v>
      </c>
      <c r="I72" s="134">
        <f>J72+K72+L72+M72+N72+O72+P72</f>
        <v>48</v>
      </c>
      <c r="J72" s="134">
        <v>19</v>
      </c>
      <c r="K72" s="134">
        <v>0</v>
      </c>
      <c r="L72" s="134">
        <v>28</v>
      </c>
      <c r="M72" s="134"/>
      <c r="N72" s="134">
        <v>1</v>
      </c>
      <c r="O72" s="134"/>
      <c r="P72" s="134"/>
      <c r="Q72" s="134">
        <v>49</v>
      </c>
      <c r="R72" s="127">
        <f t="shared" si="5"/>
        <v>78</v>
      </c>
      <c r="S72" s="121">
        <f t="shared" si="6"/>
        <v>39.58333333333333</v>
      </c>
      <c r="T72" s="63">
        <f t="shared" si="2"/>
        <v>0</v>
      </c>
      <c r="U72" s="114">
        <f t="shared" si="3"/>
        <v>0</v>
      </c>
    </row>
    <row r="73" spans="1:21" s="63" customFormat="1" ht="18" customHeight="1">
      <c r="A73" s="64" t="s">
        <v>220</v>
      </c>
      <c r="B73" s="105" t="s">
        <v>219</v>
      </c>
      <c r="C73" s="134">
        <f>D73+E73</f>
        <v>134</v>
      </c>
      <c r="D73" s="134">
        <v>110</v>
      </c>
      <c r="E73" s="134">
        <v>24</v>
      </c>
      <c r="F73" s="134"/>
      <c r="G73" s="134"/>
      <c r="H73" s="134">
        <f>I73+Q73</f>
        <v>134</v>
      </c>
      <c r="I73" s="134">
        <f>J73+K73+L73+M73+N73+O73+P73</f>
        <v>42</v>
      </c>
      <c r="J73" s="134">
        <v>13</v>
      </c>
      <c r="K73" s="134"/>
      <c r="L73" s="134">
        <v>29</v>
      </c>
      <c r="M73" s="134"/>
      <c r="N73" s="134"/>
      <c r="O73" s="134"/>
      <c r="P73" s="134"/>
      <c r="Q73" s="134">
        <v>92</v>
      </c>
      <c r="R73" s="127">
        <f t="shared" si="5"/>
        <v>121</v>
      </c>
      <c r="S73" s="121">
        <f t="shared" si="6"/>
        <v>30.952380952380953</v>
      </c>
      <c r="T73" s="63">
        <f t="shared" si="2"/>
        <v>0</v>
      </c>
      <c r="U73" s="114">
        <f t="shared" si="3"/>
        <v>0</v>
      </c>
    </row>
    <row r="74" spans="1:21" s="66" customFormat="1" ht="18" customHeight="1">
      <c r="A74" s="65">
        <v>9</v>
      </c>
      <c r="B74" s="67" t="s">
        <v>127</v>
      </c>
      <c r="C74" s="127">
        <f aca="true" t="shared" si="27" ref="C74:H74">SUM(C75:C77)</f>
        <v>297</v>
      </c>
      <c r="D74" s="127">
        <f t="shared" si="27"/>
        <v>199</v>
      </c>
      <c r="E74" s="127">
        <f t="shared" si="27"/>
        <v>98</v>
      </c>
      <c r="F74" s="127">
        <f t="shared" si="27"/>
        <v>0</v>
      </c>
      <c r="G74" s="127">
        <f t="shared" si="27"/>
        <v>0</v>
      </c>
      <c r="H74" s="127">
        <f t="shared" si="27"/>
        <v>297</v>
      </c>
      <c r="I74" s="127">
        <f>J74+K74+L74+M74+N74+O74+P74</f>
        <v>179</v>
      </c>
      <c r="J74" s="127">
        <f aca="true" t="shared" si="28" ref="J74:Q74">SUM(J75:J77)</f>
        <v>53</v>
      </c>
      <c r="K74" s="127">
        <f t="shared" si="28"/>
        <v>4</v>
      </c>
      <c r="L74" s="127">
        <f t="shared" si="28"/>
        <v>122</v>
      </c>
      <c r="M74" s="127">
        <f t="shared" si="28"/>
        <v>0</v>
      </c>
      <c r="N74" s="127">
        <f t="shared" si="28"/>
        <v>0</v>
      </c>
      <c r="O74" s="127">
        <f t="shared" si="28"/>
        <v>0</v>
      </c>
      <c r="P74" s="127">
        <f t="shared" si="28"/>
        <v>0</v>
      </c>
      <c r="Q74" s="127">
        <f t="shared" si="28"/>
        <v>118</v>
      </c>
      <c r="R74" s="127">
        <f t="shared" si="5"/>
        <v>240</v>
      </c>
      <c r="S74" s="121">
        <f t="shared" si="6"/>
        <v>31.843575418994412</v>
      </c>
      <c r="T74" s="66">
        <f aca="true" t="shared" si="29" ref="T74:T115">C74-F74-H74</f>
        <v>0</v>
      </c>
      <c r="U74" s="114">
        <f t="shared" si="3"/>
        <v>0</v>
      </c>
    </row>
    <row r="75" spans="1:21" s="63" customFormat="1" ht="18" customHeight="1">
      <c r="A75" s="64" t="s">
        <v>128</v>
      </c>
      <c r="B75" s="64" t="s">
        <v>129</v>
      </c>
      <c r="C75" s="122">
        <f>SUM(D75:E75)</f>
        <v>90</v>
      </c>
      <c r="D75" s="122">
        <v>52</v>
      </c>
      <c r="E75" s="122">
        <f>18+20</f>
        <v>38</v>
      </c>
      <c r="F75" s="122">
        <v>0</v>
      </c>
      <c r="G75" s="122">
        <v>0</v>
      </c>
      <c r="H75" s="122">
        <f>SUM(I75,Q75)</f>
        <v>90</v>
      </c>
      <c r="I75" s="122">
        <f>SUM(J75:P75)</f>
        <v>55</v>
      </c>
      <c r="J75" s="122">
        <f>14+13</f>
        <v>27</v>
      </c>
      <c r="K75" s="122">
        <v>1</v>
      </c>
      <c r="L75" s="122">
        <f>C75-J75-K75-M75-N75-O75-P75-Q75-F75-G75</f>
        <v>27</v>
      </c>
      <c r="M75" s="122">
        <v>0</v>
      </c>
      <c r="N75" s="122">
        <v>0</v>
      </c>
      <c r="O75" s="122">
        <v>0</v>
      </c>
      <c r="P75" s="124">
        <v>0</v>
      </c>
      <c r="Q75" s="125">
        <v>35</v>
      </c>
      <c r="R75" s="127">
        <f t="shared" si="5"/>
        <v>62</v>
      </c>
      <c r="S75" s="121">
        <f t="shared" si="6"/>
        <v>50.90909090909091</v>
      </c>
      <c r="T75" s="63">
        <f t="shared" si="29"/>
        <v>0</v>
      </c>
      <c r="U75" s="114">
        <f t="shared" si="3"/>
        <v>0</v>
      </c>
    </row>
    <row r="76" spans="1:21" s="63" customFormat="1" ht="18" customHeight="1">
      <c r="A76" s="64" t="s">
        <v>130</v>
      </c>
      <c r="B76" s="64" t="s">
        <v>131</v>
      </c>
      <c r="C76" s="122">
        <f>SUM(D76:E76)</f>
        <v>125</v>
      </c>
      <c r="D76" s="122">
        <v>98</v>
      </c>
      <c r="E76" s="122">
        <f>15+12</f>
        <v>27</v>
      </c>
      <c r="F76" s="122">
        <v>0</v>
      </c>
      <c r="G76" s="122">
        <v>0</v>
      </c>
      <c r="H76" s="122">
        <f>SUM(I76,Q76)</f>
        <v>125</v>
      </c>
      <c r="I76" s="122">
        <f>SUM(J76:P76)</f>
        <v>77</v>
      </c>
      <c r="J76" s="122">
        <f>8+8</f>
        <v>16</v>
      </c>
      <c r="K76" s="122">
        <v>3</v>
      </c>
      <c r="L76" s="122">
        <f>C76-J76-K76-M76-N76-O76-P76-Q76-F76-G76</f>
        <v>58</v>
      </c>
      <c r="M76" s="122">
        <v>0</v>
      </c>
      <c r="N76" s="122">
        <v>0</v>
      </c>
      <c r="O76" s="122">
        <v>0</v>
      </c>
      <c r="P76" s="124">
        <v>0</v>
      </c>
      <c r="Q76" s="125">
        <v>48</v>
      </c>
      <c r="R76" s="127">
        <f t="shared" si="5"/>
        <v>106</v>
      </c>
      <c r="S76" s="121">
        <f t="shared" si="6"/>
        <v>24.675324675324674</v>
      </c>
      <c r="T76" s="63">
        <f t="shared" si="29"/>
        <v>0</v>
      </c>
      <c r="U76" s="114">
        <f t="shared" si="3"/>
        <v>0</v>
      </c>
    </row>
    <row r="77" spans="1:21" s="63" customFormat="1" ht="18" customHeight="1">
      <c r="A77" s="64" t="s">
        <v>132</v>
      </c>
      <c r="B77" s="64" t="s">
        <v>133</v>
      </c>
      <c r="C77" s="122">
        <f>SUM(D77:E77)</f>
        <v>82</v>
      </c>
      <c r="D77" s="122">
        <v>49</v>
      </c>
      <c r="E77" s="122">
        <f>11+22</f>
        <v>33</v>
      </c>
      <c r="F77" s="122">
        <v>0</v>
      </c>
      <c r="G77" s="122">
        <v>0</v>
      </c>
      <c r="H77" s="122">
        <f>SUM(I77,Q77)</f>
        <v>82</v>
      </c>
      <c r="I77" s="122">
        <f>SUM(J77:P77)</f>
        <v>47</v>
      </c>
      <c r="J77" s="122">
        <f>5+5</f>
        <v>10</v>
      </c>
      <c r="K77" s="122">
        <v>0</v>
      </c>
      <c r="L77" s="122">
        <f>C77-J77-K77-M77-N77-O77-P77-Q77-F77-G77</f>
        <v>37</v>
      </c>
      <c r="M77" s="122">
        <v>0</v>
      </c>
      <c r="N77" s="122">
        <v>0</v>
      </c>
      <c r="O77" s="122">
        <v>0</v>
      </c>
      <c r="P77" s="124">
        <f>0</f>
        <v>0</v>
      </c>
      <c r="Q77" s="125">
        <v>35</v>
      </c>
      <c r="R77" s="127">
        <f t="shared" si="5"/>
        <v>72</v>
      </c>
      <c r="S77" s="121">
        <f t="shared" si="6"/>
        <v>21.27659574468085</v>
      </c>
      <c r="T77" s="63">
        <f t="shared" si="29"/>
        <v>0</v>
      </c>
      <c r="U77" s="114">
        <f aca="true" t="shared" si="30" ref="U77:U115">D77+E77-C77</f>
        <v>0</v>
      </c>
    </row>
    <row r="78" spans="1:21" s="66" customFormat="1" ht="18" customHeight="1">
      <c r="A78" s="65">
        <v>10</v>
      </c>
      <c r="B78" s="67" t="s">
        <v>134</v>
      </c>
      <c r="C78" s="127">
        <f>SUM(C79:C88)</f>
        <v>1398</v>
      </c>
      <c r="D78" s="127">
        <f aca="true" t="shared" si="31" ref="D78:Q78">SUM(D79:D88)</f>
        <v>1232</v>
      </c>
      <c r="E78" s="127">
        <f t="shared" si="31"/>
        <v>166</v>
      </c>
      <c r="F78" s="127">
        <f t="shared" si="31"/>
        <v>1</v>
      </c>
      <c r="G78" s="127">
        <f t="shared" si="31"/>
        <v>0</v>
      </c>
      <c r="H78" s="127">
        <f t="shared" si="31"/>
        <v>1397</v>
      </c>
      <c r="I78" s="127">
        <f t="shared" si="31"/>
        <v>540</v>
      </c>
      <c r="J78" s="127">
        <f t="shared" si="31"/>
        <v>52</v>
      </c>
      <c r="K78" s="127">
        <f t="shared" si="31"/>
        <v>10</v>
      </c>
      <c r="L78" s="127">
        <f t="shared" si="31"/>
        <v>463</v>
      </c>
      <c r="M78" s="127">
        <f t="shared" si="31"/>
        <v>10</v>
      </c>
      <c r="N78" s="127">
        <f t="shared" si="31"/>
        <v>0</v>
      </c>
      <c r="O78" s="127">
        <f t="shared" si="31"/>
        <v>0</v>
      </c>
      <c r="P78" s="127">
        <f t="shared" si="31"/>
        <v>5</v>
      </c>
      <c r="Q78" s="127">
        <f t="shared" si="31"/>
        <v>857</v>
      </c>
      <c r="R78" s="127">
        <f aca="true" t="shared" si="32" ref="R78:R115">SUM(L78:Q78)</f>
        <v>1335</v>
      </c>
      <c r="S78" s="121">
        <f aca="true" t="shared" si="33" ref="S78:S115">(J78+K78)/I78*100</f>
        <v>11.481481481481481</v>
      </c>
      <c r="T78" s="66">
        <f t="shared" si="29"/>
        <v>0</v>
      </c>
      <c r="U78" s="114">
        <f t="shared" si="30"/>
        <v>0</v>
      </c>
    </row>
    <row r="79" spans="1:21" s="63" customFormat="1" ht="18" customHeight="1">
      <c r="A79" s="64" t="s">
        <v>135</v>
      </c>
      <c r="B79" s="103" t="s">
        <v>187</v>
      </c>
      <c r="C79" s="123">
        <v>28</v>
      </c>
      <c r="D79" s="123">
        <v>25</v>
      </c>
      <c r="E79" s="123">
        <v>3</v>
      </c>
      <c r="F79" s="123">
        <v>0</v>
      </c>
      <c r="G79" s="123">
        <v>0</v>
      </c>
      <c r="H79" s="123">
        <v>28</v>
      </c>
      <c r="I79" s="123">
        <v>5</v>
      </c>
      <c r="J79" s="123">
        <v>0</v>
      </c>
      <c r="K79" s="123">
        <v>0</v>
      </c>
      <c r="L79" s="123">
        <v>5</v>
      </c>
      <c r="M79" s="123">
        <v>0</v>
      </c>
      <c r="N79" s="123">
        <v>0</v>
      </c>
      <c r="O79" s="123">
        <v>0</v>
      </c>
      <c r="P79" s="123">
        <v>0</v>
      </c>
      <c r="Q79" s="123">
        <v>23</v>
      </c>
      <c r="R79" s="127">
        <f t="shared" si="32"/>
        <v>28</v>
      </c>
      <c r="S79" s="121">
        <f t="shared" si="33"/>
        <v>0</v>
      </c>
      <c r="T79" s="63">
        <f t="shared" si="29"/>
        <v>0</v>
      </c>
      <c r="U79" s="114">
        <f t="shared" si="30"/>
        <v>0</v>
      </c>
    </row>
    <row r="80" spans="1:21" s="63" customFormat="1" ht="18" customHeight="1">
      <c r="A80" s="64" t="s">
        <v>250</v>
      </c>
      <c r="B80" s="103" t="s">
        <v>188</v>
      </c>
      <c r="C80" s="123">
        <v>155</v>
      </c>
      <c r="D80" s="123">
        <v>135</v>
      </c>
      <c r="E80" s="123">
        <v>20</v>
      </c>
      <c r="F80" s="123">
        <v>0</v>
      </c>
      <c r="G80" s="123">
        <v>0</v>
      </c>
      <c r="H80" s="123">
        <v>155</v>
      </c>
      <c r="I80" s="123">
        <v>52</v>
      </c>
      <c r="J80" s="123">
        <v>0</v>
      </c>
      <c r="K80" s="123">
        <v>0</v>
      </c>
      <c r="L80" s="123">
        <v>52</v>
      </c>
      <c r="M80" s="123">
        <v>0</v>
      </c>
      <c r="N80" s="123">
        <v>0</v>
      </c>
      <c r="O80" s="123">
        <v>0</v>
      </c>
      <c r="P80" s="123">
        <v>0</v>
      </c>
      <c r="Q80" s="123">
        <v>103</v>
      </c>
      <c r="R80" s="127">
        <f t="shared" si="32"/>
        <v>155</v>
      </c>
      <c r="S80" s="121">
        <f t="shared" si="33"/>
        <v>0</v>
      </c>
      <c r="T80" s="63">
        <f t="shared" si="29"/>
        <v>0</v>
      </c>
      <c r="U80" s="114">
        <f t="shared" si="30"/>
        <v>0</v>
      </c>
    </row>
    <row r="81" spans="1:21" s="63" customFormat="1" ht="18" customHeight="1">
      <c r="A81" s="64" t="s">
        <v>136</v>
      </c>
      <c r="B81" s="103" t="s">
        <v>143</v>
      </c>
      <c r="C81" s="123">
        <v>194</v>
      </c>
      <c r="D81" s="123">
        <v>165</v>
      </c>
      <c r="E81" s="123">
        <v>29</v>
      </c>
      <c r="F81" s="123">
        <v>0</v>
      </c>
      <c r="G81" s="123">
        <v>0</v>
      </c>
      <c r="H81" s="123">
        <v>194</v>
      </c>
      <c r="I81" s="123">
        <v>72</v>
      </c>
      <c r="J81" s="123">
        <v>10</v>
      </c>
      <c r="K81" s="123">
        <v>0</v>
      </c>
      <c r="L81" s="123">
        <v>59</v>
      </c>
      <c r="M81" s="123">
        <v>0</v>
      </c>
      <c r="N81" s="123">
        <v>0</v>
      </c>
      <c r="O81" s="123">
        <v>0</v>
      </c>
      <c r="P81" s="123">
        <v>3</v>
      </c>
      <c r="Q81" s="123">
        <v>122</v>
      </c>
      <c r="R81" s="127">
        <f t="shared" si="32"/>
        <v>184</v>
      </c>
      <c r="S81" s="121">
        <f t="shared" si="33"/>
        <v>13.88888888888889</v>
      </c>
      <c r="T81" s="63">
        <f t="shared" si="29"/>
        <v>0</v>
      </c>
      <c r="U81" s="114">
        <f t="shared" si="30"/>
        <v>0</v>
      </c>
    </row>
    <row r="82" spans="1:21" s="63" customFormat="1" ht="18" customHeight="1">
      <c r="A82" s="64" t="s">
        <v>137</v>
      </c>
      <c r="B82" s="103" t="s">
        <v>189</v>
      </c>
      <c r="C82" s="123">
        <v>151</v>
      </c>
      <c r="D82" s="123">
        <v>142</v>
      </c>
      <c r="E82" s="123">
        <v>9</v>
      </c>
      <c r="F82" s="123">
        <v>0</v>
      </c>
      <c r="G82" s="123">
        <v>0</v>
      </c>
      <c r="H82" s="123">
        <v>151</v>
      </c>
      <c r="I82" s="123">
        <v>52</v>
      </c>
      <c r="J82" s="123">
        <v>6</v>
      </c>
      <c r="K82" s="123">
        <v>1</v>
      </c>
      <c r="L82" s="123">
        <v>43</v>
      </c>
      <c r="M82" s="123">
        <v>0</v>
      </c>
      <c r="N82" s="123">
        <v>0</v>
      </c>
      <c r="O82" s="123">
        <v>0</v>
      </c>
      <c r="P82" s="123">
        <v>2</v>
      </c>
      <c r="Q82" s="123">
        <v>99</v>
      </c>
      <c r="R82" s="127">
        <f t="shared" si="32"/>
        <v>144</v>
      </c>
      <c r="S82" s="121">
        <f t="shared" si="33"/>
        <v>13.461538461538462</v>
      </c>
      <c r="T82" s="63">
        <f t="shared" si="29"/>
        <v>0</v>
      </c>
      <c r="U82" s="114">
        <f t="shared" si="30"/>
        <v>0</v>
      </c>
    </row>
    <row r="83" spans="1:21" s="63" customFormat="1" ht="18" customHeight="1">
      <c r="A83" s="64" t="s">
        <v>138</v>
      </c>
      <c r="B83" s="103" t="s">
        <v>172</v>
      </c>
      <c r="C83" s="123">
        <v>107</v>
      </c>
      <c r="D83" s="123">
        <v>97</v>
      </c>
      <c r="E83" s="123">
        <v>10</v>
      </c>
      <c r="F83" s="123">
        <v>0</v>
      </c>
      <c r="G83" s="123">
        <v>0</v>
      </c>
      <c r="H83" s="123">
        <v>107</v>
      </c>
      <c r="I83" s="123">
        <v>50</v>
      </c>
      <c r="J83" s="123">
        <v>0</v>
      </c>
      <c r="K83" s="123">
        <v>0</v>
      </c>
      <c r="L83" s="123">
        <v>50</v>
      </c>
      <c r="M83" s="123">
        <v>0</v>
      </c>
      <c r="N83" s="123">
        <v>0</v>
      </c>
      <c r="O83" s="123">
        <v>0</v>
      </c>
      <c r="P83" s="123">
        <v>0</v>
      </c>
      <c r="Q83" s="123">
        <v>57</v>
      </c>
      <c r="R83" s="127">
        <f t="shared" si="32"/>
        <v>107</v>
      </c>
      <c r="S83" s="121">
        <f t="shared" si="33"/>
        <v>0</v>
      </c>
      <c r="T83" s="63">
        <f t="shared" si="29"/>
        <v>0</v>
      </c>
      <c r="U83" s="114">
        <f t="shared" si="30"/>
        <v>0</v>
      </c>
    </row>
    <row r="84" spans="1:21" s="63" customFormat="1" ht="18" customHeight="1">
      <c r="A84" s="64" t="s">
        <v>139</v>
      </c>
      <c r="B84" s="103" t="s">
        <v>173</v>
      </c>
      <c r="C84" s="123">
        <v>155</v>
      </c>
      <c r="D84" s="123">
        <v>128</v>
      </c>
      <c r="E84" s="123">
        <v>27</v>
      </c>
      <c r="F84" s="123">
        <v>0</v>
      </c>
      <c r="G84" s="123">
        <v>0</v>
      </c>
      <c r="H84" s="123">
        <v>155</v>
      </c>
      <c r="I84" s="123">
        <v>70</v>
      </c>
      <c r="J84" s="123">
        <v>8</v>
      </c>
      <c r="K84" s="123">
        <v>0</v>
      </c>
      <c r="L84" s="123">
        <v>55</v>
      </c>
      <c r="M84" s="123">
        <v>7</v>
      </c>
      <c r="N84" s="123">
        <v>0</v>
      </c>
      <c r="O84" s="123">
        <v>0</v>
      </c>
      <c r="P84" s="123">
        <v>0</v>
      </c>
      <c r="Q84" s="123">
        <v>85</v>
      </c>
      <c r="R84" s="127">
        <f t="shared" si="32"/>
        <v>147</v>
      </c>
      <c r="S84" s="121">
        <f t="shared" si="33"/>
        <v>11.428571428571429</v>
      </c>
      <c r="T84" s="63">
        <f t="shared" si="29"/>
        <v>0</v>
      </c>
      <c r="U84" s="114">
        <f t="shared" si="30"/>
        <v>0</v>
      </c>
    </row>
    <row r="85" spans="1:21" s="63" customFormat="1" ht="18" customHeight="1">
      <c r="A85" s="64" t="s">
        <v>140</v>
      </c>
      <c r="B85" s="106" t="s">
        <v>190</v>
      </c>
      <c r="C85" s="135">
        <v>176</v>
      </c>
      <c r="D85" s="135">
        <v>163</v>
      </c>
      <c r="E85" s="135">
        <v>13</v>
      </c>
      <c r="F85" s="135">
        <v>0</v>
      </c>
      <c r="G85" s="135">
        <v>0</v>
      </c>
      <c r="H85" s="135">
        <v>176</v>
      </c>
      <c r="I85" s="135">
        <v>71</v>
      </c>
      <c r="J85" s="135">
        <v>10</v>
      </c>
      <c r="K85" s="135">
        <v>0</v>
      </c>
      <c r="L85" s="135">
        <v>58</v>
      </c>
      <c r="M85" s="135">
        <v>3</v>
      </c>
      <c r="N85" s="135">
        <v>0</v>
      </c>
      <c r="O85" s="135">
        <v>0</v>
      </c>
      <c r="P85" s="135">
        <v>0</v>
      </c>
      <c r="Q85" s="135">
        <v>105</v>
      </c>
      <c r="R85" s="127">
        <f t="shared" si="32"/>
        <v>166</v>
      </c>
      <c r="S85" s="121">
        <f t="shared" si="33"/>
        <v>14.084507042253522</v>
      </c>
      <c r="T85" s="63">
        <f t="shared" si="29"/>
        <v>0</v>
      </c>
      <c r="U85" s="114">
        <f t="shared" si="30"/>
        <v>0</v>
      </c>
    </row>
    <row r="86" spans="1:21" s="63" customFormat="1" ht="18" customHeight="1">
      <c r="A86" s="64" t="s">
        <v>141</v>
      </c>
      <c r="B86" s="103" t="s">
        <v>191</v>
      </c>
      <c r="C86" s="123">
        <v>171</v>
      </c>
      <c r="D86" s="123">
        <v>142</v>
      </c>
      <c r="E86" s="123">
        <v>29</v>
      </c>
      <c r="F86" s="123">
        <v>0</v>
      </c>
      <c r="G86" s="123">
        <v>0</v>
      </c>
      <c r="H86" s="123">
        <v>171</v>
      </c>
      <c r="I86" s="123">
        <v>45</v>
      </c>
      <c r="J86" s="123">
        <v>3</v>
      </c>
      <c r="K86" s="123">
        <v>4</v>
      </c>
      <c r="L86" s="123">
        <v>38</v>
      </c>
      <c r="M86" s="123">
        <v>0</v>
      </c>
      <c r="N86" s="123">
        <v>0</v>
      </c>
      <c r="O86" s="123">
        <v>0</v>
      </c>
      <c r="P86" s="123">
        <v>0</v>
      </c>
      <c r="Q86" s="123">
        <v>126</v>
      </c>
      <c r="R86" s="127">
        <f t="shared" si="32"/>
        <v>164</v>
      </c>
      <c r="S86" s="121">
        <f t="shared" si="33"/>
        <v>15.555555555555555</v>
      </c>
      <c r="T86" s="63">
        <f t="shared" si="29"/>
        <v>0</v>
      </c>
      <c r="U86" s="114">
        <f t="shared" si="30"/>
        <v>0</v>
      </c>
    </row>
    <row r="87" spans="1:21" s="63" customFormat="1" ht="18" customHeight="1">
      <c r="A87" s="64" t="s">
        <v>142</v>
      </c>
      <c r="B87" s="103" t="s">
        <v>192</v>
      </c>
      <c r="C87" s="123">
        <v>167</v>
      </c>
      <c r="D87" s="123">
        <v>150</v>
      </c>
      <c r="E87" s="123">
        <v>17</v>
      </c>
      <c r="F87" s="123">
        <v>1</v>
      </c>
      <c r="G87" s="123">
        <v>0</v>
      </c>
      <c r="H87" s="123">
        <v>166</v>
      </c>
      <c r="I87" s="123">
        <v>61</v>
      </c>
      <c r="J87" s="123">
        <v>8</v>
      </c>
      <c r="K87" s="123">
        <v>2</v>
      </c>
      <c r="L87" s="123">
        <v>51</v>
      </c>
      <c r="M87" s="123">
        <v>0</v>
      </c>
      <c r="N87" s="123">
        <v>0</v>
      </c>
      <c r="O87" s="123">
        <v>0</v>
      </c>
      <c r="P87" s="123">
        <v>0</v>
      </c>
      <c r="Q87" s="123">
        <v>105</v>
      </c>
      <c r="R87" s="127">
        <f t="shared" si="32"/>
        <v>156</v>
      </c>
      <c r="S87" s="121">
        <f t="shared" si="33"/>
        <v>16.39344262295082</v>
      </c>
      <c r="T87" s="63">
        <f t="shared" si="29"/>
        <v>0</v>
      </c>
      <c r="U87" s="114">
        <f t="shared" si="30"/>
        <v>0</v>
      </c>
    </row>
    <row r="88" spans="1:21" s="63" customFormat="1" ht="18" customHeight="1">
      <c r="A88" s="64" t="s">
        <v>275</v>
      </c>
      <c r="B88" s="103" t="s">
        <v>276</v>
      </c>
      <c r="C88" s="123">
        <v>94</v>
      </c>
      <c r="D88" s="123">
        <v>85</v>
      </c>
      <c r="E88" s="123">
        <v>9</v>
      </c>
      <c r="F88" s="123">
        <v>0</v>
      </c>
      <c r="G88" s="123">
        <v>0</v>
      </c>
      <c r="H88" s="123">
        <v>94</v>
      </c>
      <c r="I88" s="123">
        <v>62</v>
      </c>
      <c r="J88" s="123">
        <v>7</v>
      </c>
      <c r="K88" s="123">
        <v>3</v>
      </c>
      <c r="L88" s="123">
        <v>52</v>
      </c>
      <c r="M88" s="123">
        <v>0</v>
      </c>
      <c r="N88" s="123">
        <v>0</v>
      </c>
      <c r="O88" s="123">
        <v>0</v>
      </c>
      <c r="P88" s="123">
        <v>0</v>
      </c>
      <c r="Q88" s="123">
        <v>32</v>
      </c>
      <c r="R88" s="127">
        <f t="shared" si="32"/>
        <v>84</v>
      </c>
      <c r="S88" s="121">
        <f t="shared" si="33"/>
        <v>16.129032258064516</v>
      </c>
      <c r="T88" s="63">
        <f t="shared" si="29"/>
        <v>0</v>
      </c>
      <c r="U88" s="114">
        <f t="shared" si="30"/>
        <v>0</v>
      </c>
    </row>
    <row r="89" spans="1:21" s="66" customFormat="1" ht="18" customHeight="1">
      <c r="A89" s="65">
        <v>11</v>
      </c>
      <c r="B89" s="67" t="s">
        <v>144</v>
      </c>
      <c r="C89" s="127">
        <f>C90+C91</f>
        <v>71</v>
      </c>
      <c r="D89" s="127">
        <f aca="true" t="shared" si="34" ref="D89:Q89">D90+D91</f>
        <v>56</v>
      </c>
      <c r="E89" s="127">
        <f t="shared" si="34"/>
        <v>15</v>
      </c>
      <c r="F89" s="127">
        <f t="shared" si="34"/>
        <v>0</v>
      </c>
      <c r="G89" s="127">
        <f t="shared" si="34"/>
        <v>0</v>
      </c>
      <c r="H89" s="127">
        <f t="shared" si="34"/>
        <v>71</v>
      </c>
      <c r="I89" s="127">
        <f t="shared" si="34"/>
        <v>34</v>
      </c>
      <c r="J89" s="127">
        <f t="shared" si="34"/>
        <v>13</v>
      </c>
      <c r="K89" s="127">
        <f t="shared" si="34"/>
        <v>0</v>
      </c>
      <c r="L89" s="127">
        <f t="shared" si="34"/>
        <v>18</v>
      </c>
      <c r="M89" s="127">
        <f t="shared" si="34"/>
        <v>0</v>
      </c>
      <c r="N89" s="127">
        <f t="shared" si="34"/>
        <v>0</v>
      </c>
      <c r="O89" s="127">
        <f t="shared" si="34"/>
        <v>0</v>
      </c>
      <c r="P89" s="127">
        <f t="shared" si="34"/>
        <v>3</v>
      </c>
      <c r="Q89" s="127">
        <f t="shared" si="34"/>
        <v>37</v>
      </c>
      <c r="R89" s="127">
        <f t="shared" si="32"/>
        <v>58</v>
      </c>
      <c r="S89" s="121">
        <f t="shared" si="33"/>
        <v>38.23529411764706</v>
      </c>
      <c r="T89" s="66">
        <f t="shared" si="29"/>
        <v>0</v>
      </c>
      <c r="U89" s="114">
        <f t="shared" si="30"/>
        <v>0</v>
      </c>
    </row>
    <row r="90" spans="1:21" s="63" customFormat="1" ht="18" customHeight="1">
      <c r="A90" s="64" t="s">
        <v>145</v>
      </c>
      <c r="B90" s="102" t="s">
        <v>146</v>
      </c>
      <c r="C90" s="136">
        <f>D90+E90</f>
        <v>31</v>
      </c>
      <c r="D90" s="136">
        <v>23</v>
      </c>
      <c r="E90" s="136">
        <v>8</v>
      </c>
      <c r="F90" s="136">
        <v>0</v>
      </c>
      <c r="G90" s="136">
        <v>0</v>
      </c>
      <c r="H90" s="136">
        <f>I90+Q90</f>
        <v>31</v>
      </c>
      <c r="I90" s="136">
        <f>J90+K90+L90+M90+N90+O90+P90</f>
        <v>16</v>
      </c>
      <c r="J90" s="136">
        <v>7</v>
      </c>
      <c r="K90" s="136">
        <v>0</v>
      </c>
      <c r="L90" s="136">
        <v>8</v>
      </c>
      <c r="M90" s="136">
        <v>0</v>
      </c>
      <c r="N90" s="136">
        <v>0</v>
      </c>
      <c r="O90" s="136">
        <v>0</v>
      </c>
      <c r="P90" s="137">
        <v>1</v>
      </c>
      <c r="Q90" s="136">
        <v>15</v>
      </c>
      <c r="R90" s="127">
        <f t="shared" si="32"/>
        <v>24</v>
      </c>
      <c r="S90" s="121">
        <f t="shared" si="33"/>
        <v>43.75</v>
      </c>
      <c r="T90" s="63">
        <f t="shared" si="29"/>
        <v>0</v>
      </c>
      <c r="U90" s="114">
        <f t="shared" si="30"/>
        <v>0</v>
      </c>
    </row>
    <row r="91" spans="1:21" s="63" customFormat="1" ht="18" customHeight="1">
      <c r="A91" s="64" t="s">
        <v>147</v>
      </c>
      <c r="B91" s="102" t="s">
        <v>182</v>
      </c>
      <c r="C91" s="136">
        <f>D91+E91</f>
        <v>40</v>
      </c>
      <c r="D91" s="136">
        <v>33</v>
      </c>
      <c r="E91" s="136">
        <v>7</v>
      </c>
      <c r="F91" s="136">
        <v>0</v>
      </c>
      <c r="G91" s="136">
        <v>0</v>
      </c>
      <c r="H91" s="136">
        <f>I91+Q91</f>
        <v>40</v>
      </c>
      <c r="I91" s="136">
        <f>J91+K91+L91+M91+N91+O91+P91</f>
        <v>18</v>
      </c>
      <c r="J91" s="136">
        <v>6</v>
      </c>
      <c r="K91" s="136">
        <v>0</v>
      </c>
      <c r="L91" s="136">
        <v>10</v>
      </c>
      <c r="M91" s="136">
        <v>0</v>
      </c>
      <c r="N91" s="136">
        <v>0</v>
      </c>
      <c r="O91" s="136">
        <v>0</v>
      </c>
      <c r="P91" s="137">
        <v>2</v>
      </c>
      <c r="Q91" s="136">
        <v>22</v>
      </c>
      <c r="R91" s="127">
        <f t="shared" si="32"/>
        <v>34</v>
      </c>
      <c r="S91" s="121">
        <f t="shared" si="33"/>
        <v>33.33333333333333</v>
      </c>
      <c r="T91" s="63">
        <f t="shared" si="29"/>
        <v>0</v>
      </c>
      <c r="U91" s="114">
        <f t="shared" si="30"/>
        <v>0</v>
      </c>
    </row>
    <row r="92" spans="1:21" s="66" customFormat="1" ht="18" customHeight="1">
      <c r="A92" s="65">
        <v>12</v>
      </c>
      <c r="B92" s="67" t="s">
        <v>148</v>
      </c>
      <c r="C92" s="127">
        <f>SUM(C93:C95)</f>
        <v>270</v>
      </c>
      <c r="D92" s="127">
        <f aca="true" t="shared" si="35" ref="D92:Q92">SUM(D93:D95)</f>
        <v>156</v>
      </c>
      <c r="E92" s="127">
        <f t="shared" si="35"/>
        <v>114</v>
      </c>
      <c r="F92" s="127">
        <f t="shared" si="35"/>
        <v>0</v>
      </c>
      <c r="G92" s="127">
        <f t="shared" si="35"/>
        <v>0</v>
      </c>
      <c r="H92" s="127">
        <f t="shared" si="35"/>
        <v>270</v>
      </c>
      <c r="I92" s="127">
        <f t="shared" si="35"/>
        <v>161</v>
      </c>
      <c r="J92" s="127">
        <f t="shared" si="35"/>
        <v>96</v>
      </c>
      <c r="K92" s="127">
        <f t="shared" si="35"/>
        <v>6</v>
      </c>
      <c r="L92" s="127">
        <f t="shared" si="35"/>
        <v>58</v>
      </c>
      <c r="M92" s="127">
        <f t="shared" si="35"/>
        <v>1</v>
      </c>
      <c r="N92" s="127">
        <f t="shared" si="35"/>
        <v>0</v>
      </c>
      <c r="O92" s="127">
        <f t="shared" si="35"/>
        <v>0</v>
      </c>
      <c r="P92" s="127">
        <f t="shared" si="35"/>
        <v>0</v>
      </c>
      <c r="Q92" s="127">
        <f t="shared" si="35"/>
        <v>109</v>
      </c>
      <c r="R92" s="127">
        <f t="shared" si="32"/>
        <v>168</v>
      </c>
      <c r="S92" s="121">
        <f t="shared" si="33"/>
        <v>63.35403726708074</v>
      </c>
      <c r="T92" s="66">
        <f t="shared" si="29"/>
        <v>0</v>
      </c>
      <c r="U92" s="114">
        <f t="shared" si="30"/>
        <v>0</v>
      </c>
    </row>
    <row r="93" spans="1:21" s="63" customFormat="1" ht="18" customHeight="1">
      <c r="A93" s="107" t="s">
        <v>196</v>
      </c>
      <c r="B93" s="105" t="s">
        <v>193</v>
      </c>
      <c r="C93" s="134">
        <f>D93+E93</f>
        <v>80</v>
      </c>
      <c r="D93" s="134">
        <v>34</v>
      </c>
      <c r="E93" s="134">
        <v>46</v>
      </c>
      <c r="F93" s="134">
        <v>0</v>
      </c>
      <c r="G93" s="134">
        <v>0</v>
      </c>
      <c r="H93" s="134">
        <f>C93-F93-G93</f>
        <v>80</v>
      </c>
      <c r="I93" s="134">
        <f>H93-Q93</f>
        <v>54</v>
      </c>
      <c r="J93" s="134">
        <v>47</v>
      </c>
      <c r="K93" s="134">
        <v>1</v>
      </c>
      <c r="L93" s="134">
        <v>6</v>
      </c>
      <c r="M93" s="134"/>
      <c r="N93" s="134"/>
      <c r="O93" s="134"/>
      <c r="P93" s="134"/>
      <c r="Q93" s="134">
        <v>26</v>
      </c>
      <c r="R93" s="127">
        <f t="shared" si="32"/>
        <v>32</v>
      </c>
      <c r="S93" s="121">
        <f t="shared" si="33"/>
        <v>88.88888888888889</v>
      </c>
      <c r="T93" s="63">
        <f t="shared" si="29"/>
        <v>0</v>
      </c>
      <c r="U93" s="114">
        <f t="shared" si="30"/>
        <v>0</v>
      </c>
    </row>
    <row r="94" spans="1:21" s="63" customFormat="1" ht="18" customHeight="1">
      <c r="A94" s="107" t="s">
        <v>197</v>
      </c>
      <c r="B94" s="105" t="s">
        <v>194</v>
      </c>
      <c r="C94" s="134">
        <f>D94+E94</f>
        <v>137</v>
      </c>
      <c r="D94" s="134">
        <v>97</v>
      </c>
      <c r="E94" s="134">
        <v>40</v>
      </c>
      <c r="F94" s="134">
        <v>0</v>
      </c>
      <c r="G94" s="134">
        <v>0</v>
      </c>
      <c r="H94" s="134">
        <f>C94-F94-G94</f>
        <v>137</v>
      </c>
      <c r="I94" s="134">
        <f>H94-Q94</f>
        <v>76</v>
      </c>
      <c r="J94" s="134">
        <v>35</v>
      </c>
      <c r="K94" s="134">
        <v>5</v>
      </c>
      <c r="L94" s="134">
        <v>35</v>
      </c>
      <c r="M94" s="134">
        <v>1</v>
      </c>
      <c r="N94" s="134"/>
      <c r="O94" s="134"/>
      <c r="P94" s="134"/>
      <c r="Q94" s="134">
        <v>61</v>
      </c>
      <c r="R94" s="127">
        <f t="shared" si="32"/>
        <v>97</v>
      </c>
      <c r="S94" s="121">
        <f t="shared" si="33"/>
        <v>52.63157894736842</v>
      </c>
      <c r="T94" s="63">
        <f t="shared" si="29"/>
        <v>0</v>
      </c>
      <c r="U94" s="114">
        <f t="shared" si="30"/>
        <v>0</v>
      </c>
    </row>
    <row r="95" spans="1:21" s="63" customFormat="1" ht="18" customHeight="1">
      <c r="A95" s="107" t="s">
        <v>198</v>
      </c>
      <c r="B95" s="108" t="s">
        <v>195</v>
      </c>
      <c r="C95" s="134">
        <f>D95+E95</f>
        <v>53</v>
      </c>
      <c r="D95" s="134">
        <v>25</v>
      </c>
      <c r="E95" s="134">
        <v>28</v>
      </c>
      <c r="F95" s="134">
        <v>0</v>
      </c>
      <c r="G95" s="134">
        <v>0</v>
      </c>
      <c r="H95" s="134">
        <f>C95-F95-G95</f>
        <v>53</v>
      </c>
      <c r="I95" s="134">
        <f>H95-Q95</f>
        <v>31</v>
      </c>
      <c r="J95" s="134">
        <v>14</v>
      </c>
      <c r="K95" s="134">
        <v>0</v>
      </c>
      <c r="L95" s="134">
        <v>17</v>
      </c>
      <c r="M95" s="134"/>
      <c r="N95" s="134"/>
      <c r="O95" s="134"/>
      <c r="P95" s="134"/>
      <c r="Q95" s="134">
        <v>22</v>
      </c>
      <c r="R95" s="127">
        <f t="shared" si="32"/>
        <v>39</v>
      </c>
      <c r="S95" s="121">
        <f t="shared" si="33"/>
        <v>45.16129032258064</v>
      </c>
      <c r="T95" s="63">
        <f t="shared" si="29"/>
        <v>0</v>
      </c>
      <c r="U95" s="114">
        <f t="shared" si="30"/>
        <v>0</v>
      </c>
    </row>
    <row r="96" spans="1:21" s="66" customFormat="1" ht="18" customHeight="1">
      <c r="A96" s="65">
        <v>13</v>
      </c>
      <c r="B96" s="67" t="s">
        <v>149</v>
      </c>
      <c r="C96" s="127">
        <f>SUM(C97:C107)</f>
        <v>2200</v>
      </c>
      <c r="D96" s="127">
        <f aca="true" t="shared" si="36" ref="D96:Q96">SUM(D97:D107)</f>
        <v>1962</v>
      </c>
      <c r="E96" s="127">
        <f t="shared" si="36"/>
        <v>238</v>
      </c>
      <c r="F96" s="127">
        <f t="shared" si="36"/>
        <v>1</v>
      </c>
      <c r="G96" s="127">
        <f t="shared" si="36"/>
        <v>1</v>
      </c>
      <c r="H96" s="127">
        <f t="shared" si="36"/>
        <v>2199</v>
      </c>
      <c r="I96" s="127">
        <f t="shared" si="36"/>
        <v>1190</v>
      </c>
      <c r="J96" s="127">
        <f t="shared" si="36"/>
        <v>149</v>
      </c>
      <c r="K96" s="127">
        <f t="shared" si="36"/>
        <v>6</v>
      </c>
      <c r="L96" s="127">
        <f t="shared" si="36"/>
        <v>1035</v>
      </c>
      <c r="M96" s="127">
        <f t="shared" si="36"/>
        <v>0</v>
      </c>
      <c r="N96" s="127">
        <f t="shared" si="36"/>
        <v>0</v>
      </c>
      <c r="O96" s="127">
        <f t="shared" si="36"/>
        <v>0</v>
      </c>
      <c r="P96" s="127">
        <f t="shared" si="36"/>
        <v>0</v>
      </c>
      <c r="Q96" s="127">
        <f t="shared" si="36"/>
        <v>1009</v>
      </c>
      <c r="R96" s="127">
        <f t="shared" si="32"/>
        <v>2044</v>
      </c>
      <c r="S96" s="121">
        <f t="shared" si="33"/>
        <v>13.025210084033615</v>
      </c>
      <c r="T96" s="66">
        <f t="shared" si="29"/>
        <v>0</v>
      </c>
      <c r="U96" s="114">
        <f t="shared" si="30"/>
        <v>0</v>
      </c>
    </row>
    <row r="97" spans="1:21" s="63" customFormat="1" ht="18" customHeight="1">
      <c r="A97" s="64" t="s">
        <v>255</v>
      </c>
      <c r="B97" s="109" t="s">
        <v>150</v>
      </c>
      <c r="C97" s="122">
        <f>D97+E97</f>
        <v>70</v>
      </c>
      <c r="D97" s="122">
        <v>23</v>
      </c>
      <c r="E97" s="122">
        <v>47</v>
      </c>
      <c r="F97" s="122">
        <v>0</v>
      </c>
      <c r="G97" s="122">
        <v>0</v>
      </c>
      <c r="H97" s="122">
        <f>I97+Q97</f>
        <v>70</v>
      </c>
      <c r="I97" s="122">
        <f>J97+K97+L97+M97+N97+O97+P97</f>
        <v>69</v>
      </c>
      <c r="J97" s="122">
        <v>27</v>
      </c>
      <c r="K97" s="122">
        <v>0</v>
      </c>
      <c r="L97" s="122">
        <v>42</v>
      </c>
      <c r="M97" s="122">
        <v>0</v>
      </c>
      <c r="N97" s="122">
        <v>0</v>
      </c>
      <c r="O97" s="122">
        <v>0</v>
      </c>
      <c r="P97" s="122">
        <v>0</v>
      </c>
      <c r="Q97" s="125">
        <v>1</v>
      </c>
      <c r="R97" s="127">
        <f t="shared" si="32"/>
        <v>43</v>
      </c>
      <c r="S97" s="121">
        <f t="shared" si="33"/>
        <v>39.130434782608695</v>
      </c>
      <c r="T97" s="63">
        <f t="shared" si="29"/>
        <v>0</v>
      </c>
      <c r="U97" s="114">
        <f t="shared" si="30"/>
        <v>0</v>
      </c>
    </row>
    <row r="98" spans="1:21" s="63" customFormat="1" ht="18" customHeight="1">
      <c r="A98" s="64" t="s">
        <v>256</v>
      </c>
      <c r="B98" s="109" t="s">
        <v>211</v>
      </c>
      <c r="C98" s="122">
        <f aca="true" t="shared" si="37" ref="C98:C107">D98+E98</f>
        <v>216</v>
      </c>
      <c r="D98" s="122">
        <v>203</v>
      </c>
      <c r="E98" s="122">
        <v>13</v>
      </c>
      <c r="F98" s="122">
        <v>0</v>
      </c>
      <c r="G98" s="122">
        <v>0</v>
      </c>
      <c r="H98" s="122">
        <f aca="true" t="shared" si="38" ref="H98:H107">I98+Q98</f>
        <v>216</v>
      </c>
      <c r="I98" s="122">
        <f aca="true" t="shared" si="39" ref="I98:I107">J98+K98+L98+M98+N98+O98+P98</f>
        <v>124</v>
      </c>
      <c r="J98" s="122">
        <v>11</v>
      </c>
      <c r="K98" s="122">
        <v>1</v>
      </c>
      <c r="L98" s="122">
        <v>112</v>
      </c>
      <c r="M98" s="122">
        <v>0</v>
      </c>
      <c r="N98" s="122">
        <v>0</v>
      </c>
      <c r="O98" s="122">
        <v>0</v>
      </c>
      <c r="P98" s="122">
        <v>0</v>
      </c>
      <c r="Q98" s="125">
        <v>92</v>
      </c>
      <c r="R98" s="127">
        <f t="shared" si="32"/>
        <v>204</v>
      </c>
      <c r="S98" s="121">
        <f t="shared" si="33"/>
        <v>9.67741935483871</v>
      </c>
      <c r="T98" s="63">
        <f t="shared" si="29"/>
        <v>0</v>
      </c>
      <c r="U98" s="114">
        <f t="shared" si="30"/>
        <v>0</v>
      </c>
    </row>
    <row r="99" spans="1:21" s="63" customFormat="1" ht="18" customHeight="1">
      <c r="A99" s="64" t="s">
        <v>257</v>
      </c>
      <c r="B99" s="109" t="s">
        <v>151</v>
      </c>
      <c r="C99" s="122">
        <f t="shared" si="37"/>
        <v>332</v>
      </c>
      <c r="D99" s="122">
        <v>287</v>
      </c>
      <c r="E99" s="122">
        <v>45</v>
      </c>
      <c r="F99" s="122">
        <v>0</v>
      </c>
      <c r="G99" s="122">
        <v>0</v>
      </c>
      <c r="H99" s="122">
        <f t="shared" si="38"/>
        <v>332</v>
      </c>
      <c r="I99" s="122">
        <f t="shared" si="39"/>
        <v>136</v>
      </c>
      <c r="J99" s="122">
        <v>18</v>
      </c>
      <c r="K99" s="122">
        <v>1</v>
      </c>
      <c r="L99" s="122">
        <v>117</v>
      </c>
      <c r="M99" s="122">
        <v>0</v>
      </c>
      <c r="N99" s="122">
        <v>0</v>
      </c>
      <c r="O99" s="122">
        <v>0</v>
      </c>
      <c r="P99" s="122">
        <v>0</v>
      </c>
      <c r="Q99" s="125">
        <v>196</v>
      </c>
      <c r="R99" s="127">
        <f t="shared" si="32"/>
        <v>313</v>
      </c>
      <c r="S99" s="121">
        <f t="shared" si="33"/>
        <v>13.970588235294118</v>
      </c>
      <c r="T99" s="63">
        <f t="shared" si="29"/>
        <v>0</v>
      </c>
      <c r="U99" s="114">
        <f t="shared" si="30"/>
        <v>0</v>
      </c>
    </row>
    <row r="100" spans="1:21" s="63" customFormat="1" ht="18" customHeight="1">
      <c r="A100" s="64" t="s">
        <v>258</v>
      </c>
      <c r="B100" s="110" t="s">
        <v>152</v>
      </c>
      <c r="C100" s="122">
        <f t="shared" si="37"/>
        <v>298</v>
      </c>
      <c r="D100" s="122">
        <v>275</v>
      </c>
      <c r="E100" s="122">
        <v>23</v>
      </c>
      <c r="F100" s="122">
        <v>0</v>
      </c>
      <c r="G100" s="122">
        <v>0</v>
      </c>
      <c r="H100" s="122">
        <f>I100+Q100</f>
        <v>298</v>
      </c>
      <c r="I100" s="122">
        <f t="shared" si="39"/>
        <v>163</v>
      </c>
      <c r="J100" s="122">
        <v>16</v>
      </c>
      <c r="K100" s="122">
        <v>0</v>
      </c>
      <c r="L100" s="122">
        <v>147</v>
      </c>
      <c r="M100" s="122">
        <v>0</v>
      </c>
      <c r="N100" s="122">
        <v>0</v>
      </c>
      <c r="O100" s="122">
        <v>0</v>
      </c>
      <c r="P100" s="122">
        <v>0</v>
      </c>
      <c r="Q100" s="125">
        <v>135</v>
      </c>
      <c r="R100" s="127">
        <f t="shared" si="32"/>
        <v>282</v>
      </c>
      <c r="S100" s="121">
        <f t="shared" si="33"/>
        <v>9.815950920245399</v>
      </c>
      <c r="T100" s="63">
        <f t="shared" si="29"/>
        <v>0</v>
      </c>
      <c r="U100" s="114">
        <f t="shared" si="30"/>
        <v>0</v>
      </c>
    </row>
    <row r="101" spans="1:21" s="63" customFormat="1" ht="18" customHeight="1">
      <c r="A101" s="64" t="s">
        <v>259</v>
      </c>
      <c r="B101" s="111" t="s">
        <v>212</v>
      </c>
      <c r="C101" s="122">
        <f t="shared" si="37"/>
        <v>142</v>
      </c>
      <c r="D101" s="122">
        <v>133</v>
      </c>
      <c r="E101" s="122">
        <v>9</v>
      </c>
      <c r="F101" s="122">
        <v>0</v>
      </c>
      <c r="G101" s="122">
        <v>1</v>
      </c>
      <c r="H101" s="122">
        <f t="shared" si="38"/>
        <v>142</v>
      </c>
      <c r="I101" s="122">
        <f t="shared" si="39"/>
        <v>66</v>
      </c>
      <c r="J101" s="122">
        <v>5</v>
      </c>
      <c r="K101" s="122">
        <v>0</v>
      </c>
      <c r="L101" s="122">
        <v>61</v>
      </c>
      <c r="M101" s="122">
        <v>0</v>
      </c>
      <c r="N101" s="122">
        <v>0</v>
      </c>
      <c r="O101" s="122">
        <v>0</v>
      </c>
      <c r="P101" s="122">
        <v>0</v>
      </c>
      <c r="Q101" s="125">
        <v>76</v>
      </c>
      <c r="R101" s="127">
        <f t="shared" si="32"/>
        <v>137</v>
      </c>
      <c r="S101" s="121">
        <f t="shared" si="33"/>
        <v>7.575757575757576</v>
      </c>
      <c r="T101" s="63">
        <f t="shared" si="29"/>
        <v>0</v>
      </c>
      <c r="U101" s="114">
        <f t="shared" si="30"/>
        <v>0</v>
      </c>
    </row>
    <row r="102" spans="1:21" s="63" customFormat="1" ht="18" customHeight="1">
      <c r="A102" s="64" t="s">
        <v>260</v>
      </c>
      <c r="B102" s="111" t="s">
        <v>153</v>
      </c>
      <c r="C102" s="122">
        <f t="shared" si="37"/>
        <v>241</v>
      </c>
      <c r="D102" s="122">
        <v>219</v>
      </c>
      <c r="E102" s="122">
        <v>22</v>
      </c>
      <c r="F102" s="122">
        <v>0</v>
      </c>
      <c r="G102" s="122">
        <v>0</v>
      </c>
      <c r="H102" s="122">
        <f t="shared" si="38"/>
        <v>241</v>
      </c>
      <c r="I102" s="122">
        <f t="shared" si="39"/>
        <v>124</v>
      </c>
      <c r="J102" s="122">
        <v>9</v>
      </c>
      <c r="K102" s="122">
        <v>3</v>
      </c>
      <c r="L102" s="122">
        <v>112</v>
      </c>
      <c r="M102" s="122">
        <v>0</v>
      </c>
      <c r="N102" s="122">
        <v>0</v>
      </c>
      <c r="O102" s="122">
        <v>0</v>
      </c>
      <c r="P102" s="122">
        <v>0</v>
      </c>
      <c r="Q102" s="125">
        <v>117</v>
      </c>
      <c r="R102" s="127">
        <f t="shared" si="32"/>
        <v>229</v>
      </c>
      <c r="S102" s="121">
        <f t="shared" si="33"/>
        <v>9.67741935483871</v>
      </c>
      <c r="T102" s="63">
        <f t="shared" si="29"/>
        <v>0</v>
      </c>
      <c r="U102" s="114">
        <f t="shared" si="30"/>
        <v>0</v>
      </c>
    </row>
    <row r="103" spans="1:21" s="63" customFormat="1" ht="18" customHeight="1">
      <c r="A103" s="64" t="s">
        <v>261</v>
      </c>
      <c r="B103" s="111" t="s">
        <v>154</v>
      </c>
      <c r="C103" s="122">
        <f t="shared" si="37"/>
        <v>207</v>
      </c>
      <c r="D103" s="122">
        <v>192</v>
      </c>
      <c r="E103" s="122">
        <v>15</v>
      </c>
      <c r="F103" s="122">
        <v>0</v>
      </c>
      <c r="G103" s="122">
        <v>0</v>
      </c>
      <c r="H103" s="122">
        <f t="shared" si="38"/>
        <v>207</v>
      </c>
      <c r="I103" s="122">
        <f>J103+K103+L103+M103+N103+O103+P103</f>
        <v>98</v>
      </c>
      <c r="J103" s="122">
        <v>16</v>
      </c>
      <c r="K103" s="122">
        <v>0</v>
      </c>
      <c r="L103" s="122">
        <v>82</v>
      </c>
      <c r="M103" s="122">
        <v>0</v>
      </c>
      <c r="N103" s="122">
        <v>0</v>
      </c>
      <c r="O103" s="122">
        <v>0</v>
      </c>
      <c r="P103" s="122">
        <v>0</v>
      </c>
      <c r="Q103" s="125">
        <v>109</v>
      </c>
      <c r="R103" s="127">
        <f t="shared" si="32"/>
        <v>191</v>
      </c>
      <c r="S103" s="121">
        <f t="shared" si="33"/>
        <v>16.3265306122449</v>
      </c>
      <c r="T103" s="63">
        <f t="shared" si="29"/>
        <v>0</v>
      </c>
      <c r="U103" s="114">
        <f t="shared" si="30"/>
        <v>0</v>
      </c>
    </row>
    <row r="104" spans="1:21" s="63" customFormat="1" ht="18" customHeight="1">
      <c r="A104" s="64" t="s">
        <v>262</v>
      </c>
      <c r="B104" s="109" t="s">
        <v>155</v>
      </c>
      <c r="C104" s="122">
        <f t="shared" si="37"/>
        <v>186</v>
      </c>
      <c r="D104" s="122">
        <v>164</v>
      </c>
      <c r="E104" s="122">
        <v>22</v>
      </c>
      <c r="F104" s="122">
        <v>0</v>
      </c>
      <c r="G104" s="122">
        <v>0</v>
      </c>
      <c r="H104" s="122">
        <f t="shared" si="38"/>
        <v>186</v>
      </c>
      <c r="I104" s="122">
        <f t="shared" si="39"/>
        <v>108</v>
      </c>
      <c r="J104" s="122">
        <v>22</v>
      </c>
      <c r="K104" s="122">
        <v>0</v>
      </c>
      <c r="L104" s="122">
        <v>86</v>
      </c>
      <c r="M104" s="122">
        <v>0</v>
      </c>
      <c r="N104" s="122">
        <v>0</v>
      </c>
      <c r="O104" s="122">
        <v>0</v>
      </c>
      <c r="P104" s="122">
        <v>0</v>
      </c>
      <c r="Q104" s="125">
        <v>78</v>
      </c>
      <c r="R104" s="127">
        <f t="shared" si="32"/>
        <v>164</v>
      </c>
      <c r="S104" s="121">
        <f t="shared" si="33"/>
        <v>20.37037037037037</v>
      </c>
      <c r="T104" s="63">
        <f t="shared" si="29"/>
        <v>0</v>
      </c>
      <c r="U104" s="114">
        <f t="shared" si="30"/>
        <v>0</v>
      </c>
    </row>
    <row r="105" spans="1:21" s="63" customFormat="1" ht="18" customHeight="1">
      <c r="A105" s="64" t="s">
        <v>263</v>
      </c>
      <c r="B105" s="109" t="s">
        <v>213</v>
      </c>
      <c r="C105" s="122">
        <f t="shared" si="37"/>
        <v>170</v>
      </c>
      <c r="D105" s="122">
        <v>151</v>
      </c>
      <c r="E105" s="122">
        <v>19</v>
      </c>
      <c r="F105" s="122">
        <v>1</v>
      </c>
      <c r="G105" s="122">
        <v>0</v>
      </c>
      <c r="H105" s="122">
        <f t="shared" si="38"/>
        <v>169</v>
      </c>
      <c r="I105" s="122">
        <f t="shared" si="39"/>
        <v>90</v>
      </c>
      <c r="J105" s="122">
        <v>6</v>
      </c>
      <c r="K105" s="122">
        <v>1</v>
      </c>
      <c r="L105" s="122">
        <v>83</v>
      </c>
      <c r="M105" s="122">
        <v>0</v>
      </c>
      <c r="N105" s="122">
        <v>0</v>
      </c>
      <c r="O105" s="122">
        <v>0</v>
      </c>
      <c r="P105" s="122">
        <v>0</v>
      </c>
      <c r="Q105" s="125">
        <v>79</v>
      </c>
      <c r="R105" s="127">
        <f t="shared" si="32"/>
        <v>162</v>
      </c>
      <c r="S105" s="121">
        <f t="shared" si="33"/>
        <v>7.777777777777778</v>
      </c>
      <c r="T105" s="63">
        <f t="shared" si="29"/>
        <v>0</v>
      </c>
      <c r="U105" s="114">
        <f t="shared" si="30"/>
        <v>0</v>
      </c>
    </row>
    <row r="106" spans="1:21" s="63" customFormat="1" ht="18" customHeight="1">
      <c r="A106" s="64" t="s">
        <v>264</v>
      </c>
      <c r="B106" s="109" t="s">
        <v>214</v>
      </c>
      <c r="C106" s="122">
        <f t="shared" si="37"/>
        <v>223</v>
      </c>
      <c r="D106" s="122">
        <v>211</v>
      </c>
      <c r="E106" s="122">
        <v>12</v>
      </c>
      <c r="F106" s="122">
        <v>0</v>
      </c>
      <c r="G106" s="122">
        <v>0</v>
      </c>
      <c r="H106" s="122">
        <f t="shared" si="38"/>
        <v>223</v>
      </c>
      <c r="I106" s="122">
        <f t="shared" si="39"/>
        <v>141</v>
      </c>
      <c r="J106" s="122">
        <v>10</v>
      </c>
      <c r="K106" s="122">
        <v>0</v>
      </c>
      <c r="L106" s="122">
        <v>131</v>
      </c>
      <c r="M106" s="122">
        <v>0</v>
      </c>
      <c r="N106" s="122">
        <v>0</v>
      </c>
      <c r="O106" s="122">
        <v>0</v>
      </c>
      <c r="P106" s="122">
        <v>0</v>
      </c>
      <c r="Q106" s="125">
        <v>82</v>
      </c>
      <c r="R106" s="127">
        <f t="shared" si="32"/>
        <v>213</v>
      </c>
      <c r="S106" s="121">
        <f t="shared" si="33"/>
        <v>7.092198581560284</v>
      </c>
      <c r="T106" s="63">
        <f t="shared" si="29"/>
        <v>0</v>
      </c>
      <c r="U106" s="114">
        <f t="shared" si="30"/>
        <v>0</v>
      </c>
    </row>
    <row r="107" spans="1:21" s="63" customFormat="1" ht="18" customHeight="1">
      <c r="A107" s="64" t="s">
        <v>265</v>
      </c>
      <c r="B107" s="109" t="s">
        <v>106</v>
      </c>
      <c r="C107" s="122">
        <f t="shared" si="37"/>
        <v>115</v>
      </c>
      <c r="D107" s="122">
        <v>104</v>
      </c>
      <c r="E107" s="122">
        <v>11</v>
      </c>
      <c r="F107" s="122">
        <v>0</v>
      </c>
      <c r="G107" s="122">
        <v>0</v>
      </c>
      <c r="H107" s="122">
        <f t="shared" si="38"/>
        <v>115</v>
      </c>
      <c r="I107" s="122">
        <f t="shared" si="39"/>
        <v>71</v>
      </c>
      <c r="J107" s="122">
        <v>9</v>
      </c>
      <c r="K107" s="122">
        <v>0</v>
      </c>
      <c r="L107" s="122">
        <v>62</v>
      </c>
      <c r="M107" s="122">
        <v>0</v>
      </c>
      <c r="N107" s="122">
        <v>0</v>
      </c>
      <c r="O107" s="122">
        <v>0</v>
      </c>
      <c r="P107" s="122">
        <v>0</v>
      </c>
      <c r="Q107" s="125">
        <v>44</v>
      </c>
      <c r="R107" s="127">
        <f t="shared" si="32"/>
        <v>106</v>
      </c>
      <c r="S107" s="121">
        <f t="shared" si="33"/>
        <v>12.676056338028168</v>
      </c>
      <c r="T107" s="63">
        <f t="shared" si="29"/>
        <v>0</v>
      </c>
      <c r="U107" s="114">
        <f t="shared" si="30"/>
        <v>0</v>
      </c>
    </row>
    <row r="108" spans="1:21" s="66" customFormat="1" ht="18" customHeight="1">
      <c r="A108" s="65">
        <v>14</v>
      </c>
      <c r="B108" s="67" t="s">
        <v>156</v>
      </c>
      <c r="C108" s="127">
        <f>SUM(C109:C110)</f>
        <v>285</v>
      </c>
      <c r="D108" s="127">
        <f>D109+D110</f>
        <v>164</v>
      </c>
      <c r="E108" s="127">
        <f aca="true" t="shared" si="40" ref="E108:Q108">E109+E110</f>
        <v>121</v>
      </c>
      <c r="F108" s="127">
        <f t="shared" si="40"/>
        <v>3</v>
      </c>
      <c r="G108" s="127">
        <f t="shared" si="40"/>
        <v>0</v>
      </c>
      <c r="H108" s="127">
        <f t="shared" si="40"/>
        <v>282</v>
      </c>
      <c r="I108" s="127">
        <f t="shared" si="40"/>
        <v>154</v>
      </c>
      <c r="J108" s="127">
        <f t="shared" si="40"/>
        <v>66</v>
      </c>
      <c r="K108" s="127">
        <f t="shared" si="40"/>
        <v>0</v>
      </c>
      <c r="L108" s="127">
        <f t="shared" si="40"/>
        <v>88</v>
      </c>
      <c r="M108" s="127">
        <f t="shared" si="40"/>
        <v>0</v>
      </c>
      <c r="N108" s="127">
        <f t="shared" si="40"/>
        <v>0</v>
      </c>
      <c r="O108" s="127">
        <f t="shared" si="40"/>
        <v>0</v>
      </c>
      <c r="P108" s="127">
        <f t="shared" si="40"/>
        <v>0</v>
      </c>
      <c r="Q108" s="127">
        <f t="shared" si="40"/>
        <v>128</v>
      </c>
      <c r="R108" s="127">
        <f t="shared" si="32"/>
        <v>216</v>
      </c>
      <c r="S108" s="121">
        <f t="shared" si="33"/>
        <v>42.857142857142854</v>
      </c>
      <c r="T108" s="66">
        <f t="shared" si="29"/>
        <v>0</v>
      </c>
      <c r="U108" s="114">
        <f t="shared" si="30"/>
        <v>0</v>
      </c>
    </row>
    <row r="109" spans="1:21" s="63" customFormat="1" ht="18" customHeight="1">
      <c r="A109" s="64" t="s">
        <v>157</v>
      </c>
      <c r="B109" s="102" t="s">
        <v>158</v>
      </c>
      <c r="C109" s="122">
        <f>D109+E109</f>
        <v>104</v>
      </c>
      <c r="D109" s="122" t="s">
        <v>215</v>
      </c>
      <c r="E109" s="122" t="s">
        <v>270</v>
      </c>
      <c r="F109" s="122" t="s">
        <v>183</v>
      </c>
      <c r="G109" s="122" t="s">
        <v>183</v>
      </c>
      <c r="H109" s="122">
        <f>I109+Q109</f>
        <v>104</v>
      </c>
      <c r="I109" s="122">
        <f>P109+O109+N109+M109+L109+K109+J109</f>
        <v>54</v>
      </c>
      <c r="J109" s="122" t="s">
        <v>217</v>
      </c>
      <c r="K109" s="122" t="s">
        <v>183</v>
      </c>
      <c r="L109" s="122" t="s">
        <v>271</v>
      </c>
      <c r="M109" s="122" t="s">
        <v>183</v>
      </c>
      <c r="N109" s="122" t="s">
        <v>183</v>
      </c>
      <c r="O109" s="124" t="s">
        <v>183</v>
      </c>
      <c r="P109" s="125" t="s">
        <v>183</v>
      </c>
      <c r="Q109" s="125">
        <v>50</v>
      </c>
      <c r="R109" s="127">
        <f t="shared" si="32"/>
        <v>50</v>
      </c>
      <c r="S109" s="121">
        <f t="shared" si="33"/>
        <v>42.592592592592595</v>
      </c>
      <c r="T109" s="63">
        <f t="shared" si="29"/>
        <v>0</v>
      </c>
      <c r="U109" s="114">
        <f t="shared" si="30"/>
        <v>0</v>
      </c>
    </row>
    <row r="110" spans="1:21" s="63" customFormat="1" ht="18" customHeight="1">
      <c r="A110" s="64" t="s">
        <v>159</v>
      </c>
      <c r="B110" s="102" t="s">
        <v>160</v>
      </c>
      <c r="C110" s="122">
        <f>D110+E110</f>
        <v>181</v>
      </c>
      <c r="D110" s="122" t="s">
        <v>216</v>
      </c>
      <c r="E110" s="122" t="s">
        <v>272</v>
      </c>
      <c r="F110" s="122" t="s">
        <v>27</v>
      </c>
      <c r="G110" s="122" t="s">
        <v>183</v>
      </c>
      <c r="H110" s="122">
        <f>I110+Q110</f>
        <v>178</v>
      </c>
      <c r="I110" s="122">
        <f>P110+O110+N110+M110+L110+K110+J110</f>
        <v>100</v>
      </c>
      <c r="J110" s="122" t="s">
        <v>273</v>
      </c>
      <c r="K110" s="122" t="s">
        <v>183</v>
      </c>
      <c r="L110" s="122" t="s">
        <v>274</v>
      </c>
      <c r="M110" s="122" t="s">
        <v>183</v>
      </c>
      <c r="N110" s="122" t="s">
        <v>183</v>
      </c>
      <c r="O110" s="124" t="s">
        <v>183</v>
      </c>
      <c r="P110" s="125" t="s">
        <v>183</v>
      </c>
      <c r="Q110" s="125">
        <v>78</v>
      </c>
      <c r="R110" s="127">
        <f t="shared" si="32"/>
        <v>78</v>
      </c>
      <c r="S110" s="121">
        <f t="shared" si="33"/>
        <v>43</v>
      </c>
      <c r="T110" s="63">
        <f t="shared" si="29"/>
        <v>0</v>
      </c>
      <c r="U110" s="114">
        <f t="shared" si="30"/>
        <v>0</v>
      </c>
    </row>
    <row r="111" spans="1:21" s="66" customFormat="1" ht="18" customHeight="1">
      <c r="A111" s="65">
        <v>15</v>
      </c>
      <c r="B111" s="67" t="s">
        <v>161</v>
      </c>
      <c r="C111" s="127">
        <f>SUM(C112:C115)</f>
        <v>204</v>
      </c>
      <c r="D111" s="127">
        <f aca="true" t="shared" si="41" ref="D111:Q111">SUM(D112:D115)</f>
        <v>150</v>
      </c>
      <c r="E111" s="127">
        <f t="shared" si="41"/>
        <v>54</v>
      </c>
      <c r="F111" s="127">
        <f t="shared" si="41"/>
        <v>0</v>
      </c>
      <c r="G111" s="127">
        <f t="shared" si="41"/>
        <v>0</v>
      </c>
      <c r="H111" s="127">
        <f t="shared" si="41"/>
        <v>204</v>
      </c>
      <c r="I111" s="127">
        <f t="shared" si="41"/>
        <v>111</v>
      </c>
      <c r="J111" s="127">
        <f t="shared" si="41"/>
        <v>22</v>
      </c>
      <c r="K111" s="127">
        <f t="shared" si="41"/>
        <v>0</v>
      </c>
      <c r="L111" s="127">
        <f t="shared" si="41"/>
        <v>86</v>
      </c>
      <c r="M111" s="127">
        <f t="shared" si="41"/>
        <v>2</v>
      </c>
      <c r="N111" s="127">
        <f t="shared" si="41"/>
        <v>0</v>
      </c>
      <c r="O111" s="127">
        <f t="shared" si="41"/>
        <v>0</v>
      </c>
      <c r="P111" s="127">
        <f t="shared" si="41"/>
        <v>1</v>
      </c>
      <c r="Q111" s="127">
        <f t="shared" si="41"/>
        <v>93</v>
      </c>
      <c r="R111" s="127">
        <f t="shared" si="32"/>
        <v>182</v>
      </c>
      <c r="S111" s="121">
        <f t="shared" si="33"/>
        <v>19.81981981981982</v>
      </c>
      <c r="T111" s="66">
        <f t="shared" si="29"/>
        <v>0</v>
      </c>
      <c r="U111" s="114">
        <f t="shared" si="30"/>
        <v>0</v>
      </c>
    </row>
    <row r="112" spans="1:21" s="63" customFormat="1" ht="18" customHeight="1">
      <c r="A112" s="64" t="s">
        <v>251</v>
      </c>
      <c r="B112" s="103" t="s">
        <v>162</v>
      </c>
      <c r="C112" s="122">
        <f>D112+E112</f>
        <v>26</v>
      </c>
      <c r="D112" s="122">
        <v>15</v>
      </c>
      <c r="E112" s="122">
        <v>11</v>
      </c>
      <c r="F112" s="122">
        <v>0</v>
      </c>
      <c r="G112" s="122">
        <v>0</v>
      </c>
      <c r="H112" s="122">
        <f>I112+Q112</f>
        <v>26</v>
      </c>
      <c r="I112" s="122">
        <f>J112+K112+L112+M112+N112+O112+P112</f>
        <v>24</v>
      </c>
      <c r="J112" s="122">
        <v>8</v>
      </c>
      <c r="K112" s="122">
        <v>0</v>
      </c>
      <c r="L112" s="122">
        <f>C112-F112-J112-K112-M112-N112-O112-P112-Q112</f>
        <v>16</v>
      </c>
      <c r="M112" s="122">
        <v>0</v>
      </c>
      <c r="N112" s="122">
        <v>0</v>
      </c>
      <c r="O112" s="122">
        <v>0</v>
      </c>
      <c r="P112" s="122">
        <v>0</v>
      </c>
      <c r="Q112" s="125">
        <v>2</v>
      </c>
      <c r="R112" s="127">
        <f t="shared" si="32"/>
        <v>18</v>
      </c>
      <c r="S112" s="121">
        <f t="shared" si="33"/>
        <v>33.33333333333333</v>
      </c>
      <c r="T112" s="63">
        <f t="shared" si="29"/>
        <v>0</v>
      </c>
      <c r="U112" s="114">
        <f t="shared" si="30"/>
        <v>0</v>
      </c>
    </row>
    <row r="113" spans="1:21" s="63" customFormat="1" ht="18" customHeight="1">
      <c r="A113" s="64" t="s">
        <v>252</v>
      </c>
      <c r="B113" s="103" t="s">
        <v>206</v>
      </c>
      <c r="C113" s="122">
        <f>D113+E113</f>
        <v>71</v>
      </c>
      <c r="D113" s="122">
        <v>58</v>
      </c>
      <c r="E113" s="122">
        <v>13</v>
      </c>
      <c r="F113" s="122">
        <v>0</v>
      </c>
      <c r="G113" s="122">
        <v>0</v>
      </c>
      <c r="H113" s="122">
        <f>I113+Q113</f>
        <v>71</v>
      </c>
      <c r="I113" s="122">
        <f>J113+K113+L113+M113+N113+O113+P113</f>
        <v>31</v>
      </c>
      <c r="J113" s="122">
        <v>7</v>
      </c>
      <c r="K113" s="122">
        <v>0</v>
      </c>
      <c r="L113" s="122">
        <f>C113-F113-J113-K113-M113-N113-O113-P113-Q113</f>
        <v>24</v>
      </c>
      <c r="M113" s="122">
        <v>0</v>
      </c>
      <c r="N113" s="122">
        <v>0</v>
      </c>
      <c r="O113" s="122" t="s">
        <v>183</v>
      </c>
      <c r="P113" s="122" t="s">
        <v>183</v>
      </c>
      <c r="Q113" s="125">
        <v>40</v>
      </c>
      <c r="R113" s="127">
        <f t="shared" si="32"/>
        <v>64</v>
      </c>
      <c r="S113" s="121">
        <f t="shared" si="33"/>
        <v>22.58064516129032</v>
      </c>
      <c r="T113" s="63">
        <f t="shared" si="29"/>
        <v>0</v>
      </c>
      <c r="U113" s="114">
        <f t="shared" si="30"/>
        <v>0</v>
      </c>
    </row>
    <row r="114" spans="1:21" s="63" customFormat="1" ht="18" customHeight="1">
      <c r="A114" s="64" t="s">
        <v>253</v>
      </c>
      <c r="B114" s="103" t="s">
        <v>207</v>
      </c>
      <c r="C114" s="122">
        <f>D114+E114</f>
        <v>49</v>
      </c>
      <c r="D114" s="122">
        <v>38</v>
      </c>
      <c r="E114" s="122">
        <v>11</v>
      </c>
      <c r="F114" s="122">
        <v>0</v>
      </c>
      <c r="G114" s="122">
        <v>0</v>
      </c>
      <c r="H114" s="122">
        <f>I114+Q114</f>
        <v>49</v>
      </c>
      <c r="I114" s="122">
        <f>J114+K114+L114+M114+N114+O114+P114</f>
        <v>23</v>
      </c>
      <c r="J114" s="122">
        <v>0</v>
      </c>
      <c r="K114" s="122">
        <v>0</v>
      </c>
      <c r="L114" s="122">
        <f>C114-F114-J114-K114-M114-N114-O114-P114-Q114</f>
        <v>20</v>
      </c>
      <c r="M114" s="122">
        <v>2</v>
      </c>
      <c r="N114" s="122">
        <v>0</v>
      </c>
      <c r="O114" s="122">
        <v>0</v>
      </c>
      <c r="P114" s="122">
        <v>1</v>
      </c>
      <c r="Q114" s="125">
        <v>26</v>
      </c>
      <c r="R114" s="127">
        <f t="shared" si="32"/>
        <v>49</v>
      </c>
      <c r="S114" s="121">
        <f t="shared" si="33"/>
        <v>0</v>
      </c>
      <c r="T114" s="63">
        <f t="shared" si="29"/>
        <v>0</v>
      </c>
      <c r="U114" s="114">
        <f t="shared" si="30"/>
        <v>0</v>
      </c>
    </row>
    <row r="115" spans="1:21" s="63" customFormat="1" ht="18" customHeight="1">
      <c r="A115" s="64" t="s">
        <v>254</v>
      </c>
      <c r="B115" s="103" t="s">
        <v>208</v>
      </c>
      <c r="C115" s="122">
        <f>D115+E115</f>
        <v>58</v>
      </c>
      <c r="D115" s="122">
        <v>39</v>
      </c>
      <c r="E115" s="122">
        <v>19</v>
      </c>
      <c r="F115" s="122">
        <v>0</v>
      </c>
      <c r="G115" s="122">
        <v>0</v>
      </c>
      <c r="H115" s="122">
        <f>I115+Q115</f>
        <v>58</v>
      </c>
      <c r="I115" s="122">
        <f>J115+K115+L115+M115+N115+O115+P115</f>
        <v>33</v>
      </c>
      <c r="J115" s="122">
        <v>7</v>
      </c>
      <c r="K115" s="122">
        <v>0</v>
      </c>
      <c r="L115" s="122">
        <f>C115-F115-J115-K115-M115-N115-O115-P115-Q115</f>
        <v>26</v>
      </c>
      <c r="M115" s="122">
        <v>0</v>
      </c>
      <c r="N115" s="122">
        <v>0</v>
      </c>
      <c r="O115" s="122" t="s">
        <v>183</v>
      </c>
      <c r="P115" s="122" t="s">
        <v>183</v>
      </c>
      <c r="Q115" s="125">
        <v>25</v>
      </c>
      <c r="R115" s="127">
        <f t="shared" si="32"/>
        <v>51</v>
      </c>
      <c r="S115" s="121">
        <f t="shared" si="33"/>
        <v>21.21212121212121</v>
      </c>
      <c r="T115" s="63">
        <f t="shared" si="29"/>
        <v>0</v>
      </c>
      <c r="U115" s="114">
        <f t="shared" si="30"/>
        <v>0</v>
      </c>
    </row>
    <row r="117" spans="1:19" s="52" customFormat="1" ht="14.25" customHeight="1">
      <c r="A117" s="310"/>
      <c r="B117" s="310"/>
      <c r="C117" s="310"/>
      <c r="D117" s="310"/>
      <c r="E117" s="50"/>
      <c r="F117" s="50"/>
      <c r="G117" s="50"/>
      <c r="H117" s="50"/>
      <c r="I117" s="50"/>
      <c r="J117" s="50"/>
      <c r="K117" s="50"/>
      <c r="L117" s="51"/>
      <c r="M117" s="293" t="s">
        <v>278</v>
      </c>
      <c r="N117" s="293"/>
      <c r="O117" s="293"/>
      <c r="P117" s="293"/>
      <c r="Q117" s="293"/>
      <c r="R117" s="293"/>
      <c r="S117" s="293"/>
    </row>
    <row r="118" spans="1:19" s="52" customFormat="1" ht="34.5" customHeight="1">
      <c r="A118" s="53"/>
      <c r="B118" s="309" t="s">
        <v>3</v>
      </c>
      <c r="C118" s="309"/>
      <c r="D118" s="54"/>
      <c r="E118" s="51"/>
      <c r="F118" s="51"/>
      <c r="G118" s="51"/>
      <c r="H118" s="51"/>
      <c r="I118" s="51"/>
      <c r="J118" s="51"/>
      <c r="K118" s="51"/>
      <c r="L118" s="51"/>
      <c r="M118" s="303" t="s">
        <v>277</v>
      </c>
      <c r="N118" s="304"/>
      <c r="O118" s="304"/>
      <c r="P118" s="304"/>
      <c r="Q118" s="304"/>
      <c r="R118" s="304"/>
      <c r="S118" s="304"/>
    </row>
    <row r="119" spans="2:19" s="55" customFormat="1" ht="12.75" customHeight="1">
      <c r="B119" s="283" t="s">
        <v>78</v>
      </c>
      <c r="C119" s="283"/>
      <c r="D119" s="56"/>
      <c r="M119" s="296" t="s">
        <v>268</v>
      </c>
      <c r="N119" s="296"/>
      <c r="O119" s="296"/>
      <c r="P119" s="296"/>
      <c r="Q119" s="296"/>
      <c r="R119" s="296"/>
      <c r="S119" s="296"/>
    </row>
    <row r="120" spans="2:19" s="55" customFormat="1" ht="12.75">
      <c r="B120" s="31"/>
      <c r="C120" s="31"/>
      <c r="D120" s="56"/>
      <c r="N120" s="31"/>
      <c r="O120" s="31"/>
      <c r="P120" s="31"/>
      <c r="Q120" s="31"/>
      <c r="S120" s="57"/>
    </row>
    <row r="121" spans="3:19" s="52" customFormat="1" ht="12.75">
      <c r="C121" s="55"/>
      <c r="D121" s="56"/>
      <c r="E121" s="55"/>
      <c r="F121" s="55"/>
      <c r="G121" s="55"/>
      <c r="H121" s="55"/>
      <c r="I121" s="55"/>
      <c r="J121" s="55"/>
      <c r="K121" s="55"/>
      <c r="L121" s="55"/>
      <c r="M121" s="55"/>
      <c r="N121" s="55"/>
      <c r="O121" s="55"/>
      <c r="P121" s="55"/>
      <c r="Q121" s="55"/>
      <c r="R121" s="55"/>
      <c r="S121" s="58"/>
    </row>
    <row r="122" spans="3:19" s="52" customFormat="1" ht="12.75">
      <c r="C122" s="55"/>
      <c r="D122" s="56"/>
      <c r="E122" s="55"/>
      <c r="F122" s="55"/>
      <c r="G122" s="55"/>
      <c r="H122" s="55"/>
      <c r="I122" s="55"/>
      <c r="J122" s="55"/>
      <c r="K122" s="55"/>
      <c r="L122" s="55"/>
      <c r="M122" s="55"/>
      <c r="N122" s="55"/>
      <c r="O122" s="55"/>
      <c r="P122" s="55"/>
      <c r="Q122" s="55"/>
      <c r="R122" s="55"/>
      <c r="S122" s="58"/>
    </row>
    <row r="123" spans="3:19" s="52" customFormat="1" ht="12.75">
      <c r="C123" s="55"/>
      <c r="D123" s="56"/>
      <c r="E123" s="55"/>
      <c r="F123" s="55"/>
      <c r="G123" s="55"/>
      <c r="H123" s="55"/>
      <c r="I123" s="55"/>
      <c r="J123" s="55"/>
      <c r="K123" s="55"/>
      <c r="L123" s="55"/>
      <c r="M123" s="55"/>
      <c r="N123" s="55"/>
      <c r="O123" s="55"/>
      <c r="P123" s="55"/>
      <c r="Q123" s="55"/>
      <c r="R123" s="55"/>
      <c r="S123" s="58"/>
    </row>
    <row r="124" spans="3:19" s="52" customFormat="1" ht="12.75">
      <c r="C124" s="55"/>
      <c r="D124" s="56"/>
      <c r="E124" s="55"/>
      <c r="F124" s="55"/>
      <c r="G124" s="55"/>
      <c r="H124" s="55"/>
      <c r="I124" s="55"/>
      <c r="J124" s="55"/>
      <c r="K124" s="55"/>
      <c r="L124" s="55"/>
      <c r="M124" s="55"/>
      <c r="N124" s="55"/>
      <c r="O124" s="55"/>
      <c r="P124" s="55"/>
      <c r="Q124" s="55"/>
      <c r="R124" s="55"/>
      <c r="S124" s="58"/>
    </row>
    <row r="125" spans="2:19" s="52" customFormat="1" ht="18.75">
      <c r="B125" s="284" t="s">
        <v>169</v>
      </c>
      <c r="C125" s="284"/>
      <c r="D125" s="56"/>
      <c r="E125" s="55"/>
      <c r="F125" s="55"/>
      <c r="G125" s="55"/>
      <c r="H125" s="55"/>
      <c r="I125" s="55"/>
      <c r="J125" s="55"/>
      <c r="K125" s="55"/>
      <c r="L125" s="55"/>
      <c r="M125" s="284" t="s">
        <v>82</v>
      </c>
      <c r="N125" s="284"/>
      <c r="O125" s="284"/>
      <c r="P125" s="284"/>
      <c r="Q125" s="284"/>
      <c r="R125" s="284"/>
      <c r="S125" s="284"/>
    </row>
  </sheetData>
  <sheetProtection/>
  <mergeCells count="41">
    <mergeCell ref="A11:B11"/>
    <mergeCell ref="C6:E6"/>
    <mergeCell ref="B118:C118"/>
    <mergeCell ref="H7:H10"/>
    <mergeCell ref="C7:C10"/>
    <mergeCell ref="A117:D117"/>
    <mergeCell ref="M119:S119"/>
    <mergeCell ref="S6:S10"/>
    <mergeCell ref="I7:P7"/>
    <mergeCell ref="K9:K10"/>
    <mergeCell ref="R6:R10"/>
    <mergeCell ref="P9:P10"/>
    <mergeCell ref="M118:S118"/>
    <mergeCell ref="O9:O10"/>
    <mergeCell ref="B119:C119"/>
    <mergeCell ref="J9:J10"/>
    <mergeCell ref="B125:C125"/>
    <mergeCell ref="M125:S125"/>
    <mergeCell ref="N9:N10"/>
    <mergeCell ref="A12:B12"/>
    <mergeCell ref="A6:B10"/>
    <mergeCell ref="I8:I10"/>
    <mergeCell ref="M117:S117"/>
    <mergeCell ref="D9:D10"/>
    <mergeCell ref="E1:O1"/>
    <mergeCell ref="E2:O2"/>
    <mergeCell ref="E3:O3"/>
    <mergeCell ref="F6:F10"/>
    <mergeCell ref="G6:G10"/>
    <mergeCell ref="H6:Q6"/>
    <mergeCell ref="J8:P8"/>
    <mergeCell ref="A2:D2"/>
    <mergeCell ref="D7:E8"/>
    <mergeCell ref="E9:E10"/>
    <mergeCell ref="P2:T2"/>
    <mergeCell ref="P3:T3"/>
    <mergeCell ref="P4:T4"/>
    <mergeCell ref="A3:D3"/>
    <mergeCell ref="M9:M10"/>
    <mergeCell ref="L9:L10"/>
    <mergeCell ref="Q7:Q10"/>
  </mergeCells>
  <conditionalFormatting sqref="C91">
    <cfRule type="expression" priority="12" dxfId="0" stopIfTrue="1">
      <formula>#REF!&lt;&gt;#REF!+#REF!</formula>
    </cfRule>
  </conditionalFormatting>
  <conditionalFormatting sqref="I91">
    <cfRule type="expression" priority="11" dxfId="0" stopIfTrue="1">
      <formula>#REF!&lt;&gt;SUM(#REF!)</formula>
    </cfRule>
  </conditionalFormatting>
  <conditionalFormatting sqref="H91">
    <cfRule type="expression" priority="10" dxfId="0" stopIfTrue="1">
      <formula>#REF!&lt;&gt;#REF!+#REF!</formula>
    </cfRule>
  </conditionalFormatting>
  <conditionalFormatting sqref="C90">
    <cfRule type="expression" priority="9" dxfId="0" stopIfTrue="1">
      <formula>$C$20&lt;&gt;$F$20+$H$20</formula>
    </cfRule>
  </conditionalFormatting>
  <conditionalFormatting sqref="I90">
    <cfRule type="expression" priority="8" dxfId="0" stopIfTrue="1">
      <formula>$I$20&lt;&gt;SUM($J$20:$P$20)</formula>
    </cfRule>
  </conditionalFormatting>
  <conditionalFormatting sqref="H90">
    <cfRule type="expression" priority="7" dxfId="0" stopIfTrue="1">
      <formula>$H$20&lt;&gt;$I$20+$Q$20</formula>
    </cfRule>
  </conditionalFormatting>
  <conditionalFormatting sqref="C91">
    <cfRule type="expression" priority="6" dxfId="0" stopIfTrue="1">
      <formula>#REF!&lt;&gt;#REF!+#REF!</formula>
    </cfRule>
  </conditionalFormatting>
  <conditionalFormatting sqref="I91">
    <cfRule type="expression" priority="5" dxfId="0" stopIfTrue="1">
      <formula>#REF!&lt;&gt;SUM(#REF!)</formula>
    </cfRule>
  </conditionalFormatting>
  <conditionalFormatting sqref="H91">
    <cfRule type="expression" priority="4" dxfId="0" stopIfTrue="1">
      <formula>#REF!&lt;&gt;#REF!+#REF!</formula>
    </cfRule>
  </conditionalFormatting>
  <conditionalFormatting sqref="C90">
    <cfRule type="expression" priority="3" dxfId="0" stopIfTrue="1">
      <formula>$C$16&lt;&gt;$F$16+$H$16</formula>
    </cfRule>
  </conditionalFormatting>
  <conditionalFormatting sqref="I90">
    <cfRule type="expression" priority="2" dxfId="0" stopIfTrue="1">
      <formula>$I$16&lt;&gt;SUM($J$16:$P$16)</formula>
    </cfRule>
  </conditionalFormatting>
  <conditionalFormatting sqref="H90">
    <cfRule type="expression" priority="1" dxfId="0" stopIfTrue="1">
      <formula>$H$16&lt;&gt;$I$16+$Q$16</formula>
    </cfRule>
  </conditionalFormatting>
  <printOptions/>
  <pageMargins left="0.25" right="0" top="0" bottom="0" header="0.511811023622047" footer="0.275590551181102"/>
  <pageSetup horizontalDpi="600" verticalDpi="600" orientation="landscape" paperSize="9" r:id="rId4"/>
  <ignoredErrors>
    <ignoredError sqref="C45 C48 C57:Q57 C74:H74 C96 C111 J74:Q74 C37:Q37" formula="1"/>
    <ignoredError sqref="S12" evalError="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2016-12-05T10:32:39Z</cp:lastPrinted>
  <dcterms:created xsi:type="dcterms:W3CDTF">2004-03-07T02:36:29Z</dcterms:created>
  <dcterms:modified xsi:type="dcterms:W3CDTF">2016-12-07T07:25:34Z</dcterms:modified>
  <cp:category/>
  <cp:version/>
  <cp:contentType/>
  <cp:contentStatus/>
</cp:coreProperties>
</file>